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-0.1387746188</v>
      </c>
      <c r="G2" t="n">
        <v>0.0377636111859731</v>
      </c>
      <c r="H2" t="n">
        <v>0.012198865225583</v>
      </c>
      <c r="I2" t="n">
        <v>0.4891231742610231</v>
      </c>
      <c r="J2" t="n">
        <v>0.0649950768244372</v>
      </c>
      <c r="K2" t="n">
        <v>0.4033708084114937</v>
      </c>
      <c r="L2" t="b">
        <v>0</v>
      </c>
      <c r="M2" t="b">
        <v>0</v>
      </c>
      <c r="N2" t="inlineStr">
        <is>
          <t>ref</t>
        </is>
      </c>
      <c r="O2" t="n">
        <v>-95</v>
      </c>
      <c r="P2" t="n">
        <v>0.004143</v>
      </c>
      <c r="Q2" t="n">
        <v>-5</v>
      </c>
      <c r="R2" t="n">
        <v>0.001404</v>
      </c>
      <c r="S2">
        <f>IMAGE("https://mitra.stanford.edu/kundaje/oak/projects/neuro-variants/variant_position/credible/roussos_2024/variant_figures/roussos_2024.childhood.Astrocyte/rs11121162_count_position.png",4,220,900)</f>
        <v/>
      </c>
      <c r="T2">
        <f>IMAGE("https://mitra.stanford.edu/kundaje/oak/projects/neuro-variants/variant_position/credible/roussos_2024/variant_figures/roussos_2024.childhood.Astrocyte/rs11121162_profile_position.png",4,220,900)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0.136522216</v>
      </c>
      <c r="G3" t="n">
        <v>0.0422873595489727</v>
      </c>
      <c r="H3" t="n">
        <v>0.0247326700401195</v>
      </c>
      <c r="I3" t="n">
        <v>0.06992776582794059</v>
      </c>
      <c r="J3" t="n">
        <v>0.0311907978597543</v>
      </c>
      <c r="K3" t="n">
        <v>0.5271049192356922</v>
      </c>
      <c r="L3" t="b">
        <v>0</v>
      </c>
      <c r="M3" t="b">
        <v>0</v>
      </c>
      <c r="N3" t="inlineStr">
        <is>
          <t>alt</t>
        </is>
      </c>
      <c r="O3" t="n">
        <v>-15</v>
      </c>
      <c r="P3" t="n">
        <v>0.00209</v>
      </c>
      <c r="Q3" t="n">
        <v>-10</v>
      </c>
      <c r="R3" t="n">
        <v>0.01733</v>
      </c>
      <c r="S3">
        <f>IMAGE("https://mitra.stanford.edu/kundaje/oak/projects/neuro-variants/variant_position/credible/roussos_2024/variant_figures/roussos_2024.childhood.Astrocyte/rs12408399_count_position.png",4,220,900)</f>
        <v/>
      </c>
      <c r="T3">
        <f>IMAGE("https://mitra.stanford.edu/kundaje/oak/projects/neuro-variants/variant_position/credible/roussos_2024/variant_figures/roussos_2024.childhood.Astrocyte/rs12408399_profile_position.png",4,220,900)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-0.1396766679999999</v>
      </c>
      <c r="G4" t="n">
        <v>0.0462517513151483</v>
      </c>
      <c r="H4" t="n">
        <v>0.0176067380511047</v>
      </c>
      <c r="I4" t="n">
        <v>0.1911432108473728</v>
      </c>
      <c r="J4" t="n">
        <v>0.3803370657873646</v>
      </c>
      <c r="K4" t="n">
        <v>0.09509214738903481</v>
      </c>
      <c r="L4" t="b">
        <v>0</v>
      </c>
      <c r="M4" t="b">
        <v>0</v>
      </c>
      <c r="N4" t="inlineStr">
        <is>
          <t>ref</t>
        </is>
      </c>
      <c r="O4" t="n">
        <v>90</v>
      </c>
      <c r="P4" t="n">
        <v>0.0428</v>
      </c>
      <c r="Q4" t="n">
        <v>-100</v>
      </c>
      <c r="R4" t="n">
        <v>0.1768</v>
      </c>
      <c r="S4">
        <f>IMAGE("https://mitra.stanford.edu/kundaje/oak/projects/neuro-variants/variant_position/credible/roussos_2024/variant_figures/roussos_2024.childhood.Astrocyte/rs11586622_count_position.png",4,220,900)</f>
        <v/>
      </c>
      <c r="T4">
        <f>IMAGE("https://mitra.stanford.edu/kundaje/oak/projects/neuro-variants/variant_position/credible/roussos_2024/variant_figures/roussos_2024.childhood.Astrocyte/rs11586622_profile_position.png",4,220,900)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0.0498281322</v>
      </c>
      <c r="G5" t="n">
        <v>0.2166153822923569</v>
      </c>
      <c r="H5" t="n">
        <v>0.0358321298673317</v>
      </c>
      <c r="I5" t="n">
        <v>0.0147315156379407</v>
      </c>
      <c r="J5" t="n">
        <v>0.3822811476723683</v>
      </c>
      <c r="K5" t="n">
        <v>0.0942300542244902</v>
      </c>
      <c r="L5" t="b">
        <v>1</v>
      </c>
      <c r="M5" t="b">
        <v>0</v>
      </c>
      <c r="N5" t="inlineStr">
        <is>
          <t>alt</t>
        </is>
      </c>
      <c r="O5" t="n">
        <v>85</v>
      </c>
      <c r="P5" t="n">
        <v>0.003662</v>
      </c>
      <c r="Q5" t="n">
        <v>-80</v>
      </c>
      <c r="R5" t="n">
        <v>0.3157</v>
      </c>
      <c r="S5">
        <f>IMAGE("https://mitra.stanford.edu/kundaje/oak/projects/neuro-variants/variant_position/credible/roussos_2024/variant_figures/roussos_2024.childhood.Astrocyte/rs4908751_count_position.png",4,220,900)</f>
        <v/>
      </c>
      <c r="T5">
        <f>IMAGE("https://mitra.stanford.edu/kundaje/oak/projects/neuro-variants/variant_position/credible/roussos_2024/variant_figures/roussos_2024.childhood.Astrocyte/rs4908751_profile_position.png",4,220,900)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-0.00713144938</v>
      </c>
      <c r="G6" t="n">
        <v>0.7992245811889334</v>
      </c>
      <c r="H6" t="n">
        <v>0.0242531672675554</v>
      </c>
      <c r="I6" t="n">
        <v>0.06712378897211201</v>
      </c>
      <c r="J6" t="n">
        <v>0.0454832726523321</v>
      </c>
      <c r="K6" t="n">
        <v>0.456118017130382</v>
      </c>
      <c r="L6" t="b">
        <v>0</v>
      </c>
      <c r="M6" t="b">
        <v>0</v>
      </c>
      <c r="N6" t="inlineStr">
        <is>
          <t>ref</t>
        </is>
      </c>
      <c r="O6" t="n">
        <v>-5</v>
      </c>
      <c r="P6" t="n">
        <v>0.0007324</v>
      </c>
      <c r="Q6" t="n">
        <v>65</v>
      </c>
      <c r="R6" t="n">
        <v>0.1259</v>
      </c>
      <c r="S6">
        <f>IMAGE("https://mitra.stanford.edu/kundaje/oak/projects/neuro-variants/variant_position/credible/roussos_2024/variant_figures/roussos_2024.childhood.Astrocyte/rs301796_count_position.png",4,220,900)</f>
        <v/>
      </c>
      <c r="T6">
        <f>IMAGE("https://mitra.stanford.edu/kundaje/oak/projects/neuro-variants/variant_position/credible/roussos_2024/variant_figures/roussos_2024.childhood.Astrocyte/rs301796_profile_position.png",4,220,900)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0.1076385778</v>
      </c>
      <c r="G7" t="n">
        <v>0.0587350777508179</v>
      </c>
      <c r="H7" t="n">
        <v>0.0143448816188016</v>
      </c>
      <c r="I7" t="n">
        <v>0.339238022688654</v>
      </c>
      <c r="J7" t="n">
        <v>0.5730164182180394</v>
      </c>
      <c r="K7" t="n">
        <v>0.0391161605809981</v>
      </c>
      <c r="L7" t="b">
        <v>0</v>
      </c>
      <c r="M7" t="b">
        <v>0</v>
      </c>
      <c r="N7" t="inlineStr">
        <is>
          <t>alt</t>
        </is>
      </c>
      <c r="O7" t="n">
        <v>20</v>
      </c>
      <c r="P7" t="n">
        <v>0.002533</v>
      </c>
      <c r="Q7" t="n">
        <v>30</v>
      </c>
      <c r="R7" t="n">
        <v>0.09923999999999999</v>
      </c>
      <c r="S7">
        <f>IMAGE("https://mitra.stanford.edu/kundaje/oak/projects/neuro-variants/variant_position/credible/roussos_2024/variant_figures/roussos_2024.childhood.Astrocyte/rs301789_count_position.png",4,220,900)</f>
        <v/>
      </c>
      <c r="T7">
        <f>IMAGE("https://mitra.stanford.edu/kundaje/oak/projects/neuro-variants/variant_position/credible/roussos_2024/variant_figures/roussos_2024.childhood.Astrocyte/rs301789_profile_position.png",4,220,900)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0.007646306</v>
      </c>
      <c r="G8" t="n">
        <v>0.7543219924597693</v>
      </c>
      <c r="H8" t="n">
        <v>0.0105861145233286</v>
      </c>
      <c r="I8" t="n">
        <v>0.6576114639428903</v>
      </c>
      <c r="J8" t="n">
        <v>0.0287826398906978</v>
      </c>
      <c r="K8" t="n">
        <v>0.5445291952402483</v>
      </c>
      <c r="L8" t="b">
        <v>0</v>
      </c>
      <c r="M8" t="b">
        <v>0</v>
      </c>
      <c r="N8" t="inlineStr">
        <is>
          <t>alt</t>
        </is>
      </c>
      <c r="O8" t="n">
        <v>-30</v>
      </c>
      <c r="P8" t="n">
        <v>0.001587</v>
      </c>
      <c r="Q8" t="n">
        <v>0</v>
      </c>
      <c r="R8" t="n">
        <v>0</v>
      </c>
      <c r="S8">
        <f>IMAGE("https://mitra.stanford.edu/kundaje/oak/projects/neuro-variants/variant_position/credible/roussos_2024/variant_figures/roussos_2024.childhood.Astrocyte/rs1763838_count_position.png",4,220,900)</f>
        <v/>
      </c>
      <c r="T8">
        <f>IMAGE("https://mitra.stanford.edu/kundaje/oak/projects/neuro-variants/variant_position/credible/roussos_2024/variant_figures/roussos_2024.childhood.Astrocyte/rs1763838_profile_position.png",4,220,900)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-0.0345519102</v>
      </c>
      <c r="G9" t="n">
        <v>0.2979613684973585</v>
      </c>
      <c r="H9" t="n">
        <v>0.0407047044817003</v>
      </c>
      <c r="I9" t="n">
        <v>0.009058882346060001</v>
      </c>
      <c r="J9" t="n">
        <v>0.2043064428720813</v>
      </c>
      <c r="K9" t="n">
        <v>0.1977907464775635</v>
      </c>
      <c r="L9" t="b">
        <v>1</v>
      </c>
      <c r="M9" t="b">
        <v>1</v>
      </c>
      <c r="N9" t="inlineStr">
        <is>
          <t>ref</t>
        </is>
      </c>
      <c r="O9" t="n">
        <v>90</v>
      </c>
      <c r="P9" t="n">
        <v>0.02051</v>
      </c>
      <c r="Q9" t="n">
        <v>75</v>
      </c>
      <c r="R9" t="n">
        <v>0.1304</v>
      </c>
      <c r="S9">
        <f>IMAGE("https://mitra.stanford.edu/kundaje/oak/projects/neuro-variants/variant_position/credible/roussos_2024/variant_figures/roussos_2024.childhood.Astrocyte/rs302719_count_position.png",4,220,900)</f>
        <v/>
      </c>
      <c r="T9">
        <f>IMAGE("https://mitra.stanford.edu/kundaje/oak/projects/neuro-variants/variant_position/credible/roussos_2024/variant_figures/roussos_2024.childhood.Astrocyte/rs302719_profile_position.png",4,220,900)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-0.0215905065999999</v>
      </c>
      <c r="G10" t="n">
        <v>0.5037069451063544</v>
      </c>
      <c r="H10" t="n">
        <v>0.0111336910772505</v>
      </c>
      <c r="I10" t="n">
        <v>0.5961167222926629</v>
      </c>
      <c r="J10" t="n">
        <v>0.0106111607245082</v>
      </c>
      <c r="K10" t="n">
        <v>0.6855827760855978</v>
      </c>
      <c r="L10" t="b">
        <v>0</v>
      </c>
      <c r="M10" t="b">
        <v>0</v>
      </c>
      <c r="N10" t="inlineStr">
        <is>
          <t>ref</t>
        </is>
      </c>
      <c r="O10" t="n">
        <v>-95</v>
      </c>
      <c r="P10" t="n">
        <v>0.02116</v>
      </c>
      <c r="Q10" t="n">
        <v>35</v>
      </c>
      <c r="R10" t="n">
        <v>0.05005</v>
      </c>
      <c r="S10">
        <f>IMAGE("https://mitra.stanford.edu/kundaje/oak/projects/neuro-variants/variant_position/credible/roussos_2024/variant_figures/roussos_2024.childhood.Astrocyte/rs172531_count_position.png",4,220,900)</f>
        <v/>
      </c>
      <c r="T10">
        <f>IMAGE("https://mitra.stanford.edu/kundaje/oak/projects/neuro-variants/variant_position/credible/roussos_2024/variant_figures/roussos_2024.childhood.Astrocyte/rs172531_profile_position.png",4,220,900)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0.06536157920000001</v>
      </c>
      <c r="G11" t="n">
        <v>0.1339735827960573</v>
      </c>
      <c r="H11" t="n">
        <v>0.0160765356859205</v>
      </c>
      <c r="I11" t="n">
        <v>0.2554847102717768</v>
      </c>
      <c r="J11" t="n">
        <v>0.0988230175631425</v>
      </c>
      <c r="K11" t="n">
        <v>0.3331508881624987</v>
      </c>
      <c r="L11" t="b">
        <v>0</v>
      </c>
      <c r="M11" t="b">
        <v>0</v>
      </c>
      <c r="N11" t="inlineStr">
        <is>
          <t>alt</t>
        </is>
      </c>
      <c r="O11" t="n">
        <v>-100</v>
      </c>
      <c r="P11" t="n">
        <v>0.01926</v>
      </c>
      <c r="Q11" t="n">
        <v>-80</v>
      </c>
      <c r="R11" t="n">
        <v>0.12476</v>
      </c>
      <c r="S11">
        <f>IMAGE("https://mitra.stanford.edu/kundaje/oak/projects/neuro-variants/variant_position/credible/roussos_2024/variant_figures/roussos_2024.childhood.Astrocyte/rs301818_count_position.png",4,220,900)</f>
        <v/>
      </c>
      <c r="T11">
        <f>IMAGE("https://mitra.stanford.edu/kundaje/oak/projects/neuro-variants/variant_position/credible/roussos_2024/variant_figures/roussos_2024.childhood.Astrocyte/rs301818_profile_position.png",4,220,900)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0.0218768212</v>
      </c>
      <c r="G12" t="n">
        <v>0.4902027434981089</v>
      </c>
      <c r="H12" t="n">
        <v>0.0543194532644781</v>
      </c>
      <c r="I12" t="n">
        <v>0.0029401386400199</v>
      </c>
      <c r="J12" t="n">
        <v>0.0021089510201277</v>
      </c>
      <c r="K12" t="n">
        <v>0.8535370543705378</v>
      </c>
      <c r="L12" t="b">
        <v>0</v>
      </c>
      <c r="M12" t="b">
        <v>0</v>
      </c>
      <c r="N12" t="inlineStr">
        <is>
          <t>alt</t>
        </is>
      </c>
      <c r="O12" t="n">
        <v>-45</v>
      </c>
      <c r="P12" t="n">
        <v>0.0003357</v>
      </c>
      <c r="Q12" t="n">
        <v>-100</v>
      </c>
      <c r="R12" t="n">
        <v>0.04248</v>
      </c>
      <c r="S12">
        <f>IMAGE("https://mitra.stanford.edu/kundaje/oak/projects/neuro-variants/variant_position/credible/roussos_2024/variant_figures/roussos_2024.childhood.Astrocyte/rs7368197_count_position.png",4,220,900)</f>
        <v/>
      </c>
      <c r="T12">
        <f>IMAGE("https://mitra.stanford.edu/kundaje/oak/projects/neuro-variants/variant_position/credible/roussos_2024/variant_figures/roussos_2024.childhood.Astrocyte/rs7368197_profile_position.png",4,220,900)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-0.0201117584</v>
      </c>
      <c r="G13" t="n">
        <v>0.4110895615210118</v>
      </c>
      <c r="H13" t="n">
        <v>0.0143671972372218</v>
      </c>
      <c r="I13" t="n">
        <v>0.3400510263385742</v>
      </c>
      <c r="J13" t="n">
        <v>0.0087151656705822</v>
      </c>
      <c r="K13" t="n">
        <v>0.7069639656462327</v>
      </c>
      <c r="L13" t="b">
        <v>0</v>
      </c>
      <c r="M13" t="b">
        <v>0</v>
      </c>
      <c r="N13" t="inlineStr">
        <is>
          <t>ref</t>
        </is>
      </c>
      <c r="O13" t="n">
        <v>-100</v>
      </c>
      <c r="P13" t="n">
        <v>0.000557</v>
      </c>
      <c r="Q13" t="n">
        <v>80</v>
      </c>
      <c r="R13" t="n">
        <v>0.1637</v>
      </c>
      <c r="S13">
        <f>IMAGE("https://mitra.stanford.edu/kundaje/oak/projects/neuro-variants/variant_position/credible/roussos_2024/variant_figures/roussos_2024.childhood.Astrocyte/rs61786043_count_position.png",4,220,900)</f>
        <v/>
      </c>
      <c r="T13">
        <f>IMAGE("https://mitra.stanford.edu/kundaje/oak/projects/neuro-variants/variant_position/credible/roussos_2024/variant_figures/roussos_2024.childhood.Astrocyte/rs61786043_profile_position.png",4,220,900)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-0.0532578868</v>
      </c>
      <c r="G14" t="n">
        <v>0.2090263029332988</v>
      </c>
      <c r="H14" t="n">
        <v>0.0115378227752602</v>
      </c>
      <c r="I14" t="n">
        <v>0.5653937895347182</v>
      </c>
      <c r="J14" t="n">
        <v>0.013992504560616</v>
      </c>
      <c r="K14" t="n">
        <v>0.6567881116712645</v>
      </c>
      <c r="L14" t="b">
        <v>0</v>
      </c>
      <c r="M14" t="b">
        <v>0</v>
      </c>
      <c r="N14" t="inlineStr">
        <is>
          <t>ref</t>
        </is>
      </c>
      <c r="O14" t="n">
        <v>90</v>
      </c>
      <c r="P14" t="n">
        <v>0.0349</v>
      </c>
      <c r="Q14" t="n">
        <v>100</v>
      </c>
      <c r="R14" t="n">
        <v>0.2505</v>
      </c>
      <c r="S14">
        <f>IMAGE("https://mitra.stanford.edu/kundaje/oak/projects/neuro-variants/variant_position/credible/roussos_2024/variant_figures/roussos_2024.childhood.Astrocyte/rs61787564_count_position.png",4,220,900)</f>
        <v/>
      </c>
      <c r="T14">
        <f>IMAGE("https://mitra.stanford.edu/kundaje/oak/projects/neuro-variants/variant_position/credible/roussos_2024/variant_figures/roussos_2024.childhood.Astrocyte/rs61787564_profile_position.png",4,220,900)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-0.0365194884</v>
      </c>
      <c r="G15" t="n">
        <v>0.3206692509959333</v>
      </c>
      <c r="H15" t="n">
        <v>0.0478446995820228</v>
      </c>
      <c r="I15" t="n">
        <v>0.0047371429855766</v>
      </c>
      <c r="J15" t="n">
        <v>0.0029645913000999</v>
      </c>
      <c r="K15" t="n">
        <v>0.8290169648151746</v>
      </c>
      <c r="L15" t="b">
        <v>0</v>
      </c>
      <c r="M15" t="b">
        <v>0</v>
      </c>
      <c r="N15" t="inlineStr">
        <is>
          <t>ref</t>
        </is>
      </c>
      <c r="O15" t="n">
        <v>10</v>
      </c>
      <c r="P15" t="n">
        <v>0.002441</v>
      </c>
      <c r="Q15" t="n">
        <v>-45</v>
      </c>
      <c r="R15" t="n">
        <v>0.06555</v>
      </c>
      <c r="S15">
        <f>IMAGE("https://mitra.stanford.edu/kundaje/oak/projects/neuro-variants/variant_position/credible/roussos_2024/variant_figures/roussos_2024.childhood.Astrocyte/rs61787565_count_position.png",4,220,900)</f>
        <v/>
      </c>
      <c r="T15">
        <f>IMAGE("https://mitra.stanford.edu/kundaje/oak/projects/neuro-variants/variant_position/credible/roussos_2024/variant_figures/roussos_2024.childhood.Astrocyte/rs61787565_profile_position.png",4,220,900)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-0.0310256462</v>
      </c>
      <c r="G16" t="n">
        <v>0.3837869207283157</v>
      </c>
      <c r="H16" t="n">
        <v>0.050177941010541</v>
      </c>
      <c r="I16" t="n">
        <v>0.0040612351968511</v>
      </c>
      <c r="J16" t="n">
        <v>0.0276247395296649</v>
      </c>
      <c r="K16" t="n">
        <v>0.5413555649009649</v>
      </c>
      <c r="L16" t="b">
        <v>1</v>
      </c>
      <c r="M16" t="b">
        <v>0</v>
      </c>
      <c r="N16" t="inlineStr">
        <is>
          <t>ref</t>
        </is>
      </c>
      <c r="O16" t="n">
        <v>75</v>
      </c>
      <c r="P16" t="n">
        <v>0.00135</v>
      </c>
      <c r="Q16" t="n">
        <v>-60</v>
      </c>
      <c r="R16" t="n">
        <v>0.0696</v>
      </c>
      <c r="S16">
        <f>IMAGE("https://mitra.stanford.edu/kundaje/oak/projects/neuro-variants/variant_position/credible/roussos_2024/variant_figures/roussos_2024.childhood.Astrocyte/rs113507743_count_position.png",4,220,900)</f>
        <v/>
      </c>
      <c r="T16">
        <f>IMAGE("https://mitra.stanford.edu/kundaje/oak/projects/neuro-variants/variant_position/credible/roussos_2024/variant_figures/roussos_2024.childhood.Astrocyte/rs113507743_profile_position.png",4,220,900)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-0.2342164999999999</v>
      </c>
      <c r="G17" t="n">
        <v>0.012882389389365</v>
      </c>
      <c r="H17" t="n">
        <v>0.0344010245673886</v>
      </c>
      <c r="I17" t="n">
        <v>0.0188459577144104</v>
      </c>
      <c r="J17" t="n">
        <v>0.1003892743468205</v>
      </c>
      <c r="K17" t="n">
        <v>0.3294352107451415</v>
      </c>
      <c r="L17" t="b">
        <v>1</v>
      </c>
      <c r="M17" t="b">
        <v>0</v>
      </c>
      <c r="N17" t="inlineStr">
        <is>
          <t>ref</t>
        </is>
      </c>
      <c r="O17" t="n">
        <v>85</v>
      </c>
      <c r="P17" t="n">
        <v>0.001625</v>
      </c>
      <c r="Q17" t="n">
        <v>-20</v>
      </c>
      <c r="R17" t="n">
        <v>0.1016</v>
      </c>
      <c r="S17">
        <f>IMAGE("https://mitra.stanford.edu/kundaje/oak/projects/neuro-variants/variant_position/credible/roussos_2024/variant_figures/roussos_2024.childhood.Astrocyte/rs61787581_count_position.png",4,220,900)</f>
        <v/>
      </c>
      <c r="T17">
        <f>IMAGE("https://mitra.stanford.edu/kundaje/oak/projects/neuro-variants/variant_position/credible/roussos_2024/variant_figures/roussos_2024.childhood.Astrocyte/rs61787581_profile_position.png",4,220,900)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0.0013520187259999</v>
      </c>
      <c r="G18" t="n">
        <v>0.8529354931074244</v>
      </c>
      <c r="H18" t="n">
        <v>0.0188789505472848</v>
      </c>
      <c r="I18" t="n">
        <v>0.1495914960429465</v>
      </c>
      <c r="J18" t="n">
        <v>0.2110569180157694</v>
      </c>
      <c r="K18" t="n">
        <v>0.1945079441708877</v>
      </c>
      <c r="L18" t="b">
        <v>0</v>
      </c>
      <c r="M18" t="b">
        <v>0</v>
      </c>
      <c r="N18" t="inlineStr">
        <is>
          <t>alt</t>
        </is>
      </c>
      <c r="O18" t="n">
        <v>100</v>
      </c>
      <c r="P18" t="n">
        <v>0.00756</v>
      </c>
      <c r="Q18" t="n">
        <v>100</v>
      </c>
      <c r="R18" t="n">
        <v>0.2603</v>
      </c>
      <c r="S18">
        <f>IMAGE("https://mitra.stanford.edu/kundaje/oak/projects/neuro-variants/variant_position/credible/roussos_2024/variant_figures/roussos_2024.childhood.Astrocyte/rs569356_count_position.png",4,220,900)</f>
        <v/>
      </c>
      <c r="T18">
        <f>IMAGE("https://mitra.stanford.edu/kundaje/oak/projects/neuro-variants/variant_position/credible/roussos_2024/variant_figures/roussos_2024.childhood.Astrocyte/rs569356_profile_position.png",4,220,900)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-0.0236029909999999</v>
      </c>
      <c r="G19" t="n">
        <v>0.3273735806146796</v>
      </c>
      <c r="H19" t="n">
        <v>0.0159887019129991</v>
      </c>
      <c r="I19" t="n">
        <v>0.2506967237987367</v>
      </c>
      <c r="J19" t="n">
        <v>0.3305183455076976</v>
      </c>
      <c r="K19" t="n">
        <v>0.1189368588662162</v>
      </c>
      <c r="L19" t="b">
        <v>0</v>
      </c>
      <c r="M19" t="b">
        <v>0</v>
      </c>
      <c r="N19" t="inlineStr">
        <is>
          <t>ref</t>
        </is>
      </c>
      <c r="O19" t="n">
        <v>-85</v>
      </c>
      <c r="P19" t="n">
        <v>0.00712</v>
      </c>
      <c r="Q19" t="n">
        <v>50</v>
      </c>
      <c r="R19" t="n">
        <v>0.05908</v>
      </c>
      <c r="S19">
        <f>IMAGE("https://mitra.stanford.edu/kundaje/oak/projects/neuro-variants/variant_position/credible/roussos_2024/variant_figures/roussos_2024.childhood.Astrocyte/rs533123_count_position.png",4,220,900)</f>
        <v/>
      </c>
      <c r="T19">
        <f>IMAGE("https://mitra.stanford.edu/kundaje/oak/projects/neuro-variants/variant_position/credible/roussos_2024/variant_figures/roussos_2024.childhood.Astrocyte/rs533123_profile_position.png",4,220,900)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0.032316531</v>
      </c>
      <c r="G20" t="n">
        <v>0.3480411242476485</v>
      </c>
      <c r="H20" t="n">
        <v>0.0105904988602286</v>
      </c>
      <c r="I20" t="n">
        <v>0.6411653682399404</v>
      </c>
      <c r="J20" t="n">
        <v>0.0317892117576118</v>
      </c>
      <c r="K20" t="n">
        <v>0.517571445120952</v>
      </c>
      <c r="L20" t="b">
        <v>0</v>
      </c>
      <c r="M20" t="b">
        <v>0</v>
      </c>
      <c r="N20" t="inlineStr">
        <is>
          <t>alt</t>
        </is>
      </c>
      <c r="O20" t="n">
        <v>100</v>
      </c>
      <c r="P20" t="n">
        <v>0.0246</v>
      </c>
      <c r="Q20" t="n">
        <v>-100</v>
      </c>
      <c r="R20" t="n">
        <v>0.0515</v>
      </c>
      <c r="S20">
        <f>IMAGE("https://mitra.stanford.edu/kundaje/oak/projects/neuro-variants/variant_position/credible/roussos_2024/variant_figures/roussos_2024.childhood.Astrocyte/rs369247_count_position.png",4,220,900)</f>
        <v/>
      </c>
      <c r="T20">
        <f>IMAGE("https://mitra.stanford.edu/kundaje/oak/projects/neuro-variants/variant_position/credible/roussos_2024/variant_figures/roussos_2024.childhood.Astrocyte/rs369247_profile_position.png",4,220,900)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-0.0246815312</v>
      </c>
      <c r="G21" t="n">
        <v>0.4536349477434007</v>
      </c>
      <c r="H21" t="n">
        <v>0.0223607317213823</v>
      </c>
      <c r="I21" t="n">
        <v>0.0868277480486089</v>
      </c>
      <c r="J21" t="n">
        <v>0.0070321265828581</v>
      </c>
      <c r="K21" t="n">
        <v>0.7411007423871409</v>
      </c>
      <c r="L21" t="b">
        <v>0</v>
      </c>
      <c r="M21" t="b">
        <v>0</v>
      </c>
      <c r="N21" t="inlineStr">
        <is>
          <t>ref</t>
        </is>
      </c>
      <c r="O21" t="n">
        <v>-60</v>
      </c>
      <c r="P21" t="n">
        <v>0.00825</v>
      </c>
      <c r="Q21" t="n">
        <v>100</v>
      </c>
      <c r="R21" t="n">
        <v>0.2</v>
      </c>
      <c r="S21">
        <f>IMAGE("https://mitra.stanford.edu/kundaje/oak/projects/neuro-variants/variant_position/credible/roussos_2024/variant_figures/roussos_2024.childhood.Astrocyte/rs4654375_count_position.png",4,220,900)</f>
        <v/>
      </c>
      <c r="T21">
        <f>IMAGE("https://mitra.stanford.edu/kundaje/oak/projects/neuro-variants/variant_position/credible/roussos_2024/variant_figures/roussos_2024.childhood.Astrocyte/rs4654375_profile_position.png",4,220,900)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0.0118004564799999</v>
      </c>
      <c r="G22" t="n">
        <v>0.6302927911565075</v>
      </c>
      <c r="H22" t="n">
        <v>0.0109855415280652</v>
      </c>
      <c r="I22" t="n">
        <v>0.6157252196298918</v>
      </c>
      <c r="J22" t="n">
        <v>0.0071977590010151</v>
      </c>
      <c r="K22" t="n">
        <v>0.7405041343225079</v>
      </c>
      <c r="L22" t="b">
        <v>0</v>
      </c>
      <c r="M22" t="b">
        <v>0</v>
      </c>
      <c r="N22" t="inlineStr">
        <is>
          <t>alt</t>
        </is>
      </c>
      <c r="O22" t="n">
        <v>30</v>
      </c>
      <c r="P22" t="n">
        <v>0.001301</v>
      </c>
      <c r="Q22" t="n">
        <v>100</v>
      </c>
      <c r="R22" t="n">
        <v>0.09719999999999999</v>
      </c>
      <c r="S22">
        <f>IMAGE("https://mitra.stanford.edu/kundaje/oak/projects/neuro-variants/variant_position/credible/roussos_2024/variant_figures/roussos_2024.childhood.Astrocyte/rs2236859_count_position.png",4,220,900)</f>
        <v/>
      </c>
      <c r="T22">
        <f>IMAGE("https://mitra.stanford.edu/kundaje/oak/projects/neuro-variants/variant_position/credible/roussos_2024/variant_figures/roussos_2024.childhood.Astrocyte/rs2236859_profile_position.png",4,220,900)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-1.2309076</v>
      </c>
      <c r="G23" t="n">
        <v>8.83265805713577e-06</v>
      </c>
      <c r="H23" t="n">
        <v>0.0598480918297846</v>
      </c>
      <c r="I23" t="n">
        <v>0.0020577386811411</v>
      </c>
      <c r="J23" t="n">
        <v>0.8530695427171349</v>
      </c>
      <c r="K23" t="n">
        <v>0.0041227252523886</v>
      </c>
      <c r="L23" t="b">
        <v>1</v>
      </c>
      <c r="M23" t="b">
        <v>1</v>
      </c>
      <c r="N23" t="inlineStr">
        <is>
          <t>ref</t>
        </is>
      </c>
      <c r="O23" t="n">
        <v>75</v>
      </c>
      <c r="P23" t="n">
        <v>0.01648</v>
      </c>
      <c r="Q23" t="n">
        <v>75</v>
      </c>
      <c r="R23" t="n">
        <v>0.1875</v>
      </c>
      <c r="S23">
        <f>IMAGE("https://mitra.stanford.edu/kundaje/oak/projects/neuro-variants/variant_position/credible/roussos_2024/variant_figures/roussos_2024.childhood.Astrocyte/rs2236855_count_position.png",4,220,900)</f>
        <v/>
      </c>
      <c r="T23">
        <f>IMAGE("https://mitra.stanford.edu/kundaje/oak/projects/neuro-variants/variant_position/credible/roussos_2024/variant_figures/roussos_2024.childhood.Astrocyte/rs2236855_profile_position.png",4,220,900)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0.136365828</v>
      </c>
      <c r="G24" t="n">
        <v>0.0398480614716616</v>
      </c>
      <c r="H24" t="n">
        <v>0.0222050245964012</v>
      </c>
      <c r="I24" t="n">
        <v>0.09522941143253449</v>
      </c>
      <c r="J24" t="n">
        <v>0.5880553838168731</v>
      </c>
      <c r="K24" t="n">
        <v>0.036127683662945</v>
      </c>
      <c r="L24" t="b">
        <v>0</v>
      </c>
      <c r="M24" t="b">
        <v>0</v>
      </c>
      <c r="N24" t="inlineStr">
        <is>
          <t>alt</t>
        </is>
      </c>
      <c r="O24" t="n">
        <v>40</v>
      </c>
      <c r="P24" t="n">
        <v>0.001747</v>
      </c>
      <c r="Q24" t="n">
        <v>-55</v>
      </c>
      <c r="R24" t="n">
        <v>0.04446</v>
      </c>
      <c r="S24">
        <f>IMAGE("https://mitra.stanford.edu/kundaje/oak/projects/neuro-variants/variant_position/credible/roussos_2024/variant_figures/roussos_2024.childhood.Astrocyte/rs760588_count_position.png",4,220,900)</f>
        <v/>
      </c>
      <c r="T24">
        <f>IMAGE("https://mitra.stanford.edu/kundaje/oak/projects/neuro-variants/variant_position/credible/roussos_2024/variant_figures/roussos_2024.childhood.Astrocyte/rs760588_profile_position.png",4,220,900)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-0.03235962172</v>
      </c>
      <c r="G25" t="n">
        <v>0.3754115312473582</v>
      </c>
      <c r="H25" t="n">
        <v>0.0120066807823726</v>
      </c>
      <c r="I25" t="n">
        <v>0.4887403961640453</v>
      </c>
      <c r="J25" t="n">
        <v>0.0425110485219023</v>
      </c>
      <c r="K25" t="n">
        <v>0.4900913498009656</v>
      </c>
      <c r="L25" t="b">
        <v>0</v>
      </c>
      <c r="M25" t="b">
        <v>0</v>
      </c>
      <c r="N25" t="inlineStr">
        <is>
          <t>ref</t>
        </is>
      </c>
      <c r="O25" t="n">
        <v>70</v>
      </c>
      <c r="P25" t="n">
        <v>0.06510000000000001</v>
      </c>
      <c r="Q25" t="n">
        <v>95</v>
      </c>
      <c r="R25" t="n">
        <v>0.0897</v>
      </c>
      <c r="S25">
        <f>IMAGE("https://mitra.stanford.edu/kundaje/oak/projects/neuro-variants/variant_position/credible/roussos_2024/variant_figures/roussos_2024.childhood.Astrocyte/rs4233254_count_position.png",4,220,900)</f>
        <v/>
      </c>
      <c r="T25">
        <f>IMAGE("https://mitra.stanford.edu/kundaje/oak/projects/neuro-variants/variant_position/credible/roussos_2024/variant_figures/roussos_2024.childhood.Astrocyte/rs4233254_profile_position.png",4,220,900)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0.023829819</v>
      </c>
      <c r="G26" t="n">
        <v>0.4574779496647876</v>
      </c>
      <c r="H26" t="n">
        <v>0.0261370164726013</v>
      </c>
      <c r="I26" t="n">
        <v>0.0500593356652107</v>
      </c>
      <c r="J26" t="n">
        <v>0.0002121926831687</v>
      </c>
      <c r="K26" t="n">
        <v>0.9675750577679426</v>
      </c>
      <c r="L26" t="b">
        <v>0</v>
      </c>
      <c r="M26" t="b">
        <v>0</v>
      </c>
      <c r="N26" t="inlineStr">
        <is>
          <t>alt</t>
        </is>
      </c>
      <c r="O26" t="n">
        <v>-60</v>
      </c>
      <c r="P26" t="n">
        <v>0.01213</v>
      </c>
      <c r="Q26" t="n">
        <v>-80</v>
      </c>
      <c r="R26" t="n">
        <v>0.1448</v>
      </c>
      <c r="S26">
        <f>IMAGE("https://mitra.stanford.edu/kundaje/oak/projects/neuro-variants/variant_position/credible/roussos_2024/variant_figures/roussos_2024.childhood.Astrocyte/rs150082_count_position.png",4,220,900)</f>
        <v/>
      </c>
      <c r="T26">
        <f>IMAGE("https://mitra.stanford.edu/kundaje/oak/projects/neuro-variants/variant_position/credible/roussos_2024/variant_figures/roussos_2024.childhood.Astrocyte/rs150082_profile_position.png",4,220,900)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0.0144182821999999</v>
      </c>
      <c r="G27" t="n">
        <v>0.6254355329840111</v>
      </c>
      <c r="H27" t="n">
        <v>0.0094187512527688</v>
      </c>
      <c r="I27" t="n">
        <v>0.7642983696536771</v>
      </c>
      <c r="J27" t="n">
        <v>0.07087235617839439</v>
      </c>
      <c r="K27" t="n">
        <v>0.3875671918170508</v>
      </c>
      <c r="L27" t="b">
        <v>0</v>
      </c>
      <c r="M27" t="b">
        <v>0</v>
      </c>
      <c r="N27" t="inlineStr">
        <is>
          <t>alt</t>
        </is>
      </c>
      <c r="O27" t="n">
        <v>100</v>
      </c>
      <c r="P27" t="n">
        <v>0.01701</v>
      </c>
      <c r="Q27" t="n">
        <v>100</v>
      </c>
      <c r="R27" t="n">
        <v>0.0824</v>
      </c>
      <c r="S27">
        <f>IMAGE("https://mitra.stanford.edu/kundaje/oak/projects/neuro-variants/variant_position/credible/roussos_2024/variant_figures/roussos_2024.childhood.Astrocyte/rs3102739_count_position.png",4,220,900)</f>
        <v/>
      </c>
      <c r="T27">
        <f>IMAGE("https://mitra.stanford.edu/kundaje/oak/projects/neuro-variants/variant_position/credible/roussos_2024/variant_figures/roussos_2024.childhood.Astrocyte/rs3102739_profile_position.png",4,220,900)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0.403441416</v>
      </c>
      <c r="G28" t="n">
        <v>0.0023205445090198</v>
      </c>
      <c r="H28" t="n">
        <v>0.0372915442647625</v>
      </c>
      <c r="I28" t="n">
        <v>0.0134890564902544</v>
      </c>
      <c r="J28" t="n">
        <v>0.6146909085357942</v>
      </c>
      <c r="K28" t="n">
        <v>0.0313034042095582</v>
      </c>
      <c r="L28" t="b">
        <v>1</v>
      </c>
      <c r="M28" t="b">
        <v>1</v>
      </c>
      <c r="N28" t="inlineStr">
        <is>
          <t>alt</t>
        </is>
      </c>
      <c r="O28" t="n">
        <v>15</v>
      </c>
      <c r="P28" t="n">
        <v>0.001762</v>
      </c>
      <c r="Q28" t="n">
        <v>35</v>
      </c>
      <c r="R28" t="n">
        <v>0.08450000000000001</v>
      </c>
      <c r="S28">
        <f>IMAGE("https://mitra.stanford.edu/kundaje/oak/projects/neuro-variants/variant_position/credible/roussos_2024/variant_figures/roussos_2024.childhood.Astrocyte/rs2985339_count_position.png",4,220,900)</f>
        <v/>
      </c>
      <c r="T28">
        <f>IMAGE("https://mitra.stanford.edu/kundaje/oak/projects/neuro-variants/variant_position/credible/roussos_2024/variant_figures/roussos_2024.childhood.Astrocyte/rs2985339_profile_position.png",4,220,900)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0.0133812985</v>
      </c>
      <c r="G29" t="n">
        <v>0.6426251852328733</v>
      </c>
      <c r="H29" t="n">
        <v>0.0362660941072208</v>
      </c>
      <c r="I29" t="n">
        <v>0.0143118587904706</v>
      </c>
      <c r="J29" t="n">
        <v>0.0072153145107736</v>
      </c>
      <c r="K29" t="n">
        <v>0.7372722678836039</v>
      </c>
      <c r="L29" t="b">
        <v>0</v>
      </c>
      <c r="M29" t="b">
        <v>0</v>
      </c>
      <c r="N29" t="inlineStr">
        <is>
          <t>alt</t>
        </is>
      </c>
      <c r="O29" t="n">
        <v>90</v>
      </c>
      <c r="P29" t="n">
        <v>0.01137</v>
      </c>
      <c r="Q29" t="n">
        <v>-100</v>
      </c>
      <c r="R29" t="n">
        <v>0.2218</v>
      </c>
      <c r="S29">
        <f>IMAGE("https://mitra.stanford.edu/kundaje/oak/projects/neuro-variants/variant_position/credible/roussos_2024/variant_figures/roussos_2024.childhood.Astrocyte/rs7513398_count_position.png",4,220,900)</f>
        <v/>
      </c>
      <c r="T29">
        <f>IMAGE("https://mitra.stanford.edu/kundaje/oak/projects/neuro-variants/variant_position/credible/roussos_2024/variant_figures/roussos_2024.childhood.Astrocyte/rs7513398_profile_position.png",4,220,900)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-0.008179153014000001</v>
      </c>
      <c r="G30" t="n">
        <v>0.7625191620072278</v>
      </c>
      <c r="H30" t="n">
        <v>0.0098883312168376</v>
      </c>
      <c r="I30" t="n">
        <v>0.7305790252425542</v>
      </c>
      <c r="J30" t="n">
        <v>0.0014899284803797</v>
      </c>
      <c r="K30" t="n">
        <v>0.8771066751700758</v>
      </c>
      <c r="L30" t="b">
        <v>0</v>
      </c>
      <c r="M30" t="b">
        <v>0</v>
      </c>
      <c r="N30" t="inlineStr">
        <is>
          <t>ref</t>
        </is>
      </c>
      <c r="O30" t="n">
        <v>-35</v>
      </c>
      <c r="P30" t="n">
        <v>0.01011</v>
      </c>
      <c r="Q30" t="n">
        <v>5</v>
      </c>
      <c r="R30" t="n">
        <v>0.002563</v>
      </c>
      <c r="S30">
        <f>IMAGE("https://mitra.stanford.edu/kundaje/oak/projects/neuro-variants/variant_position/credible/roussos_2024/variant_figures/roussos_2024.childhood.Astrocyte/rs2486201_count_position.png",4,220,900)</f>
        <v/>
      </c>
      <c r="T30">
        <f>IMAGE("https://mitra.stanford.edu/kundaje/oak/projects/neuro-variants/variant_position/credible/roussos_2024/variant_figures/roussos_2024.childhood.Astrocyte/rs2486201_profile_position.png",4,220,900)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-0.155321427</v>
      </c>
      <c r="G31" t="n">
        <v>0.0345324175917345</v>
      </c>
      <c r="H31" t="n">
        <v>0.0206940886738752</v>
      </c>
      <c r="I31" t="n">
        <v>0.118012808585968</v>
      </c>
      <c r="J31" t="n">
        <v>0.6474136154427423</v>
      </c>
      <c r="K31" t="n">
        <v>0.0258520845344451</v>
      </c>
      <c r="L31" t="b">
        <v>0</v>
      </c>
      <c r="M31" t="b">
        <v>0</v>
      </c>
      <c r="N31" t="inlineStr">
        <is>
          <t>ref</t>
        </is>
      </c>
      <c r="O31" t="n">
        <v>100</v>
      </c>
      <c r="P31" t="n">
        <v>0.005386</v>
      </c>
      <c r="Q31" t="n">
        <v>-25</v>
      </c>
      <c r="R31" t="n">
        <v>0.0498</v>
      </c>
      <c r="S31">
        <f>IMAGE("https://mitra.stanford.edu/kundaje/oak/projects/neuro-variants/variant_position/credible/roussos_2024/variant_figures/roussos_2024.childhood.Astrocyte/rs10914662_count_position.png",4,220,900)</f>
        <v/>
      </c>
      <c r="T31">
        <f>IMAGE("https://mitra.stanford.edu/kundaje/oak/projects/neuro-variants/variant_position/credible/roussos_2024/variant_figures/roussos_2024.childhood.Astrocyte/rs10914662_profile_position.png",4,220,900)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0.04094071638</v>
      </c>
      <c r="G32" t="n">
        <v>0.2627028514870612</v>
      </c>
      <c r="H32" t="n">
        <v>0.0226517330595271</v>
      </c>
      <c r="I32" t="n">
        <v>0.0826182136556302</v>
      </c>
      <c r="J32" t="n">
        <v>0.1158251471228045</v>
      </c>
      <c r="K32" t="n">
        <v>0.3126901303988567</v>
      </c>
      <c r="L32" t="b">
        <v>0</v>
      </c>
      <c r="M32" t="b">
        <v>0</v>
      </c>
      <c r="N32" t="inlineStr">
        <is>
          <t>alt</t>
        </is>
      </c>
      <c r="O32" t="n">
        <v>55</v>
      </c>
      <c r="P32" t="n">
        <v>0.001633</v>
      </c>
      <c r="Q32" t="n">
        <v>35</v>
      </c>
      <c r="R32" t="n">
        <v>0.04688</v>
      </c>
      <c r="S32">
        <f>IMAGE("https://mitra.stanford.edu/kundaje/oak/projects/neuro-variants/variant_position/credible/roussos_2024/variant_figures/roussos_2024.childhood.Astrocyte/rs56335113_count_position.png",4,220,900)</f>
        <v/>
      </c>
      <c r="T32">
        <f>IMAGE("https://mitra.stanford.edu/kundaje/oak/projects/neuro-variants/variant_position/credible/roussos_2024/variant_figures/roussos_2024.childhood.Astrocyte/rs56335113_profile_position.png",4,220,900)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0.006953479066</v>
      </c>
      <c r="G33" t="n">
        <v>0.5771270781251886</v>
      </c>
      <c r="H33" t="n">
        <v>0.0125332824630178</v>
      </c>
      <c r="I33" t="n">
        <v>0.4708918029000539</v>
      </c>
      <c r="J33" t="n">
        <v>0.0260065794997442</v>
      </c>
      <c r="K33" t="n">
        <v>0.5687447613198606</v>
      </c>
      <c r="L33" t="b">
        <v>0</v>
      </c>
      <c r="M33" t="b">
        <v>0</v>
      </c>
      <c r="N33" t="inlineStr">
        <is>
          <t>alt</t>
        </is>
      </c>
      <c r="O33" t="n">
        <v>-100</v>
      </c>
      <c r="P33" t="n">
        <v>0.002998</v>
      </c>
      <c r="Q33" t="n">
        <v>80</v>
      </c>
      <c r="R33" t="n">
        <v>0.0692</v>
      </c>
      <c r="S33">
        <f>IMAGE("https://mitra.stanford.edu/kundaje/oak/projects/neuro-variants/variant_position/credible/roussos_2024/variant_figures/roussos_2024.childhood.Astrocyte/rs1009080_count_position.png",4,220,900)</f>
        <v/>
      </c>
      <c r="T33">
        <f>IMAGE("https://mitra.stanford.edu/kundaje/oak/projects/neuro-variants/variant_position/credible/roussos_2024/variant_figures/roussos_2024.childhood.Astrocyte/rs1009080_profile_position.png",4,220,900)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-0.0382796284</v>
      </c>
      <c r="G34" t="n">
        <v>0.2771519996526729</v>
      </c>
      <c r="H34" t="n">
        <v>0.0133578250661213</v>
      </c>
      <c r="I34" t="n">
        <v>0.395919349157714</v>
      </c>
      <c r="J34" t="n">
        <v>0.7087892041247815</v>
      </c>
      <c r="K34" t="n">
        <v>0.0173608374454772</v>
      </c>
      <c r="L34" t="b">
        <v>0</v>
      </c>
      <c r="M34" t="b">
        <v>0</v>
      </c>
      <c r="N34" t="inlineStr">
        <is>
          <t>ref</t>
        </is>
      </c>
      <c r="O34" t="n">
        <v>100</v>
      </c>
      <c r="P34" t="n">
        <v>0.001633</v>
      </c>
      <c r="Q34" t="n">
        <v>15</v>
      </c>
      <c r="R34" t="n">
        <v>0.0464</v>
      </c>
      <c r="S34">
        <f>IMAGE("https://mitra.stanford.edu/kundaje/oak/projects/neuro-variants/variant_position/credible/roussos_2024/variant_figures/roussos_2024.childhood.Astrocyte/rs6679167_count_position.png",4,220,900)</f>
        <v/>
      </c>
      <c r="T34">
        <f>IMAGE("https://mitra.stanford.edu/kundaje/oak/projects/neuro-variants/variant_position/credible/roussos_2024/variant_figures/roussos_2024.childhood.Astrocyte/rs6679167_profile_position.png",4,220,900)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-0.1483823254</v>
      </c>
      <c r="G35" t="n">
        <v>0.0443348714064984</v>
      </c>
      <c r="H35" t="n">
        <v>0.0262697541282671</v>
      </c>
      <c r="I35" t="n">
        <v>0.054131453106083</v>
      </c>
      <c r="J35" t="n">
        <v>0.6886835657530168</v>
      </c>
      <c r="K35" t="n">
        <v>0.0199228458293494</v>
      </c>
      <c r="L35" t="b">
        <v>0</v>
      </c>
      <c r="M35" t="b">
        <v>0</v>
      </c>
      <c r="N35" t="inlineStr">
        <is>
          <t>ref</t>
        </is>
      </c>
      <c r="O35" t="n">
        <v>-65</v>
      </c>
      <c r="P35" t="n">
        <v>0.002518</v>
      </c>
      <c r="Q35" t="n">
        <v>-45</v>
      </c>
      <c r="R35" t="n">
        <v>0.1094</v>
      </c>
      <c r="S35">
        <f>IMAGE("https://mitra.stanford.edu/kundaje/oak/projects/neuro-variants/variant_position/credible/roussos_2024/variant_figures/roussos_2024.childhood.Astrocyte/rs1498232_count_position.png",4,220,900)</f>
        <v/>
      </c>
      <c r="T35">
        <f>IMAGE("https://mitra.stanford.edu/kundaje/oak/projects/neuro-variants/variant_position/credible/roussos_2024/variant_figures/roussos_2024.childhood.Astrocyte/rs1498232_profile_position.png",4,220,900)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-0.0425303868</v>
      </c>
      <c r="G36" t="n">
        <v>0.1209087485363941</v>
      </c>
      <c r="H36" t="n">
        <v>0.0204312940989156</v>
      </c>
      <c r="I36" t="n">
        <v>0.1187790545597854</v>
      </c>
      <c r="J36" t="n">
        <v>0.0652393273949913</v>
      </c>
      <c r="K36" t="n">
        <v>0.4374438133852111</v>
      </c>
      <c r="L36" t="b">
        <v>0</v>
      </c>
      <c r="M36" t="b">
        <v>0</v>
      </c>
      <c r="N36" t="inlineStr">
        <is>
          <t>ref</t>
        </is>
      </c>
      <c r="O36" t="n">
        <v>45</v>
      </c>
      <c r="P36" t="n">
        <v>0.002594</v>
      </c>
      <c r="Q36" t="n">
        <v>90</v>
      </c>
      <c r="R36" t="n">
        <v>0.1001</v>
      </c>
      <c r="S36">
        <f>IMAGE("https://mitra.stanford.edu/kundaje/oak/projects/neuro-variants/variant_position/credible/roussos_2024/variant_figures/roussos_2024.childhood.Astrocyte/rs10127492_count_position.png",4,220,900)</f>
        <v/>
      </c>
      <c r="T36">
        <f>IMAGE("https://mitra.stanford.edu/kundaje/oak/projects/neuro-variants/variant_position/credible/roussos_2024/variant_figures/roussos_2024.childhood.Astrocyte/rs10127492_profile_position.png",4,220,900)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0.027720218</v>
      </c>
      <c r="G37" t="n">
        <v>0.4048546419674942</v>
      </c>
      <c r="H37" t="n">
        <v>0.0114211721945444</v>
      </c>
      <c r="I37" t="n">
        <v>0.5766675337903987</v>
      </c>
      <c r="J37" t="n">
        <v>0.000120598719211</v>
      </c>
      <c r="K37" t="n">
        <v>0.9868266542860517</v>
      </c>
      <c r="L37" t="b">
        <v>0</v>
      </c>
      <c r="M37" t="b">
        <v>0</v>
      </c>
      <c r="N37" t="inlineStr">
        <is>
          <t>alt</t>
        </is>
      </c>
      <c r="O37" t="n">
        <v>95</v>
      </c>
      <c r="P37" t="n">
        <v>0.00196</v>
      </c>
      <c r="Q37" t="n">
        <v>40</v>
      </c>
      <c r="R37" t="n">
        <v>0.1119</v>
      </c>
      <c r="S37">
        <f>IMAGE("https://mitra.stanford.edu/kundaje/oak/projects/neuro-variants/variant_position/credible/roussos_2024/variant_figures/roussos_2024.childhood.Astrocyte/rs10798981_count_position.png",4,220,900)</f>
        <v/>
      </c>
      <c r="T37">
        <f>IMAGE("https://mitra.stanford.edu/kundaje/oak/projects/neuro-variants/variant_position/credible/roussos_2024/variant_figures/roussos_2024.childhood.Astrocyte/rs10798981_profile_position.png",4,220,900)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-0.09742412120000001</v>
      </c>
      <c r="G38" t="n">
        <v>0.0749452639182784</v>
      </c>
      <c r="H38" t="n">
        <v>0.0144148316112933</v>
      </c>
      <c r="I38" t="n">
        <v>0.3351542564263977</v>
      </c>
      <c r="J38" t="n">
        <v>0.3446413714669536</v>
      </c>
      <c r="K38" t="n">
        <v>0.1094113810065235</v>
      </c>
      <c r="L38" t="b">
        <v>0</v>
      </c>
      <c r="M38" t="b">
        <v>0</v>
      </c>
      <c r="N38" t="inlineStr">
        <is>
          <t>ref</t>
        </is>
      </c>
      <c r="O38" t="n">
        <v>75</v>
      </c>
      <c r="P38" t="n">
        <v>0.01478</v>
      </c>
      <c r="Q38" t="n">
        <v>35</v>
      </c>
      <c r="R38" t="n">
        <v>0.1179</v>
      </c>
      <c r="S38">
        <f>IMAGE("https://mitra.stanford.edu/kundaje/oak/projects/neuro-variants/variant_position/credible/roussos_2024/variant_figures/roussos_2024.childhood.Astrocyte/rs143052415_count_position.png",4,220,900)</f>
        <v/>
      </c>
      <c r="T38">
        <f>IMAGE("https://mitra.stanford.edu/kundaje/oak/projects/neuro-variants/variant_position/credible/roussos_2024/variant_figures/roussos_2024.childhood.Astrocyte/rs143052415_profile_position.png",4,220,900)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-0.0837196388</v>
      </c>
      <c r="G39" t="n">
        <v>0.101318756389651</v>
      </c>
      <c r="H39" t="n">
        <v>0.012150962246761</v>
      </c>
      <c r="I39" t="n">
        <v>0.4986722768691607</v>
      </c>
      <c r="J39" t="n">
        <v>0.0033668414584811</v>
      </c>
      <c r="K39" t="n">
        <v>0.8211273849884535</v>
      </c>
      <c r="L39" t="b">
        <v>0</v>
      </c>
      <c r="M39" t="b">
        <v>0</v>
      </c>
      <c r="N39" t="inlineStr">
        <is>
          <t>ref</t>
        </is>
      </c>
      <c r="O39" t="n">
        <v>80</v>
      </c>
      <c r="P39" t="n">
        <v>0.003717</v>
      </c>
      <c r="Q39" t="n">
        <v>70</v>
      </c>
      <c r="R39" t="n">
        <v>0.08594</v>
      </c>
      <c r="S39">
        <f>IMAGE("https://mitra.stanford.edu/kundaje/oak/projects/neuro-variants/variant_position/credible/roussos_2024/variant_figures/roussos_2024.childhood.Astrocyte/rs1966008_count_position.png",4,220,900)</f>
        <v/>
      </c>
      <c r="T39">
        <f>IMAGE("https://mitra.stanford.edu/kundaje/oak/projects/neuro-variants/variant_position/credible/roussos_2024/variant_figures/roussos_2024.childhood.Astrocyte/rs1966008_profile_position.png",4,220,900)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-0.0438317466</v>
      </c>
      <c r="G40" t="n">
        <v>0.282926758019191</v>
      </c>
      <c r="H40" t="n">
        <v>0.0108770677471962</v>
      </c>
      <c r="I40" t="n">
        <v>0.6116537550529142</v>
      </c>
      <c r="J40" t="n">
        <v>0.0037545892392357</v>
      </c>
      <c r="K40" t="n">
        <v>0.8104317086872908</v>
      </c>
      <c r="L40" t="b">
        <v>0</v>
      </c>
      <c r="M40" t="b">
        <v>0</v>
      </c>
      <c r="N40" t="inlineStr">
        <is>
          <t>ref</t>
        </is>
      </c>
      <c r="O40" t="n">
        <v>20</v>
      </c>
      <c r="P40" t="n">
        <v>0.001831</v>
      </c>
      <c r="Q40" t="n">
        <v>20</v>
      </c>
      <c r="R40" t="n">
        <v>0.03452</v>
      </c>
      <c r="S40">
        <f>IMAGE("https://mitra.stanford.edu/kundaje/oak/projects/neuro-variants/variant_position/credible/roussos_2024/variant_figures/roussos_2024.childhood.Astrocyte/rs1966007_count_position.png",4,220,900)</f>
        <v/>
      </c>
      <c r="T40">
        <f>IMAGE("https://mitra.stanford.edu/kundaje/oak/projects/neuro-variants/variant_position/credible/roussos_2024/variant_figures/roussos_2024.childhood.Astrocyte/rs1966007_profile_position.png",4,220,900)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-0.0057110729999999</v>
      </c>
      <c r="G41" t="n">
        <v>0.1741340771062812</v>
      </c>
      <c r="H41" t="n">
        <v>0.0171402993294767</v>
      </c>
      <c r="I41" t="n">
        <v>0.2113150584413448</v>
      </c>
      <c r="J41" t="n">
        <v>0.0130803813362032</v>
      </c>
      <c r="K41" t="n">
        <v>0.6683067829782849</v>
      </c>
      <c r="L41" t="b">
        <v>0</v>
      </c>
      <c r="M41" t="b">
        <v>0</v>
      </c>
      <c r="N41" t="inlineStr">
        <is>
          <t>ref</t>
        </is>
      </c>
      <c r="O41" t="n">
        <v>95</v>
      </c>
      <c r="P41" t="n">
        <v>0.003687</v>
      </c>
      <c r="Q41" t="n">
        <v>90</v>
      </c>
      <c r="R41" t="n">
        <v>0.1394</v>
      </c>
      <c r="S41">
        <f>IMAGE("https://mitra.stanford.edu/kundaje/oak/projects/neuro-variants/variant_position/credible/roussos_2024/variant_figures/roussos_2024.childhood.Astrocyte/rs616924_count_position.png",4,220,900)</f>
        <v/>
      </c>
      <c r="T41">
        <f>IMAGE("https://mitra.stanford.edu/kundaje/oak/projects/neuro-variants/variant_position/credible/roussos_2024/variant_figures/roussos_2024.childhood.Astrocyte/rs616924_profile_position.png",4,220,900)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-0.1145185296</v>
      </c>
      <c r="G42" t="n">
        <v>0.0608549120379059</v>
      </c>
      <c r="H42" t="n">
        <v>0.0283890186994785</v>
      </c>
      <c r="I42" t="n">
        <v>0.0365970544472941</v>
      </c>
      <c r="J42" t="n">
        <v>0.358541518780579</v>
      </c>
      <c r="K42" t="n">
        <v>0.1020794114196868</v>
      </c>
      <c r="L42" t="b">
        <v>0</v>
      </c>
      <c r="M42" t="b">
        <v>0</v>
      </c>
      <c r="N42" t="inlineStr">
        <is>
          <t>ref</t>
        </is>
      </c>
      <c r="O42" t="n">
        <v>95</v>
      </c>
      <c r="P42" t="n">
        <v>0.01544</v>
      </c>
      <c r="Q42" t="n">
        <v>95</v>
      </c>
      <c r="R42" t="n">
        <v>0.0752</v>
      </c>
      <c r="S42">
        <f>IMAGE("https://mitra.stanford.edu/kundaje/oak/projects/neuro-variants/variant_position/credible/roussos_2024/variant_figures/roussos_2024.childhood.Astrocyte/rs28734113_count_position.png",4,220,900)</f>
        <v/>
      </c>
      <c r="T42">
        <f>IMAGE("https://mitra.stanford.edu/kundaje/oak/projects/neuro-variants/variant_position/credible/roussos_2024/variant_figures/roussos_2024.childhood.Astrocyte/rs28734113_profile_position.png",4,220,900)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0.0102932864399999</v>
      </c>
      <c r="G43" t="n">
        <v>0.702995978832041</v>
      </c>
      <c r="H43" t="n">
        <v>0.0326654187203243</v>
      </c>
      <c r="I43" t="n">
        <v>0.0213848383892427</v>
      </c>
      <c r="J43" t="n">
        <v>0.0073290436826879</v>
      </c>
      <c r="K43" t="n">
        <v>0.7428764024370188</v>
      </c>
      <c r="L43" t="b">
        <v>0</v>
      </c>
      <c r="M43" t="b">
        <v>0</v>
      </c>
      <c r="N43" t="inlineStr">
        <is>
          <t>alt</t>
        </is>
      </c>
      <c r="O43" t="n">
        <v>-100</v>
      </c>
      <c r="P43" t="n">
        <v>0.04214</v>
      </c>
      <c r="Q43" t="n">
        <v>45</v>
      </c>
      <c r="R43" t="n">
        <v>0.06900000000000001</v>
      </c>
      <c r="S43">
        <f>IMAGE("https://mitra.stanford.edu/kundaje/oak/projects/neuro-variants/variant_position/credible/roussos_2024/variant_figures/roussos_2024.childhood.Astrocyte/rs12562583_count_position.png",4,220,900)</f>
        <v/>
      </c>
      <c r="T43">
        <f>IMAGE("https://mitra.stanford.edu/kundaje/oak/projects/neuro-variants/variant_position/credible/roussos_2024/variant_figures/roussos_2024.childhood.Astrocyte/rs12562583_profile_position.png",4,220,900)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0.032190222</v>
      </c>
      <c r="G44" t="n">
        <v>0.355550824925428</v>
      </c>
      <c r="H44" t="n">
        <v>0.016227781651844</v>
      </c>
      <c r="I44" t="n">
        <v>0.237434688156372</v>
      </c>
      <c r="J44" t="n">
        <v>0.0208849503484386</v>
      </c>
      <c r="K44" t="n">
        <v>0.5989485022151704</v>
      </c>
      <c r="L44" t="b">
        <v>0</v>
      </c>
      <c r="M44" t="b">
        <v>0</v>
      </c>
      <c r="N44" t="inlineStr">
        <is>
          <t>alt</t>
        </is>
      </c>
      <c r="O44" t="n">
        <v>35</v>
      </c>
      <c r="P44" t="n">
        <v>0.007507</v>
      </c>
      <c r="Q44" t="n">
        <v>-85</v>
      </c>
      <c r="R44" t="n">
        <v>0.05612</v>
      </c>
      <c r="S44">
        <f>IMAGE("https://mitra.stanford.edu/kundaje/oak/projects/neuro-variants/variant_position/credible/roussos_2024/variant_figures/roussos_2024.childhood.Astrocyte/rs6658453_count_position.png",4,220,900)</f>
        <v/>
      </c>
      <c r="T44">
        <f>IMAGE("https://mitra.stanford.edu/kundaje/oak/projects/neuro-variants/variant_position/credible/roussos_2024/variant_figures/roussos_2024.childhood.Astrocyte/rs6658453_profile_position.png",4,220,900)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0.1049153644</v>
      </c>
      <c r="G45" t="n">
        <v>0.0671502377615795</v>
      </c>
      <c r="H45" t="n">
        <v>0.012342829116982</v>
      </c>
      <c r="I45" t="n">
        <v>0.4768184226153312</v>
      </c>
      <c r="J45" t="n">
        <v>0.038038209948631</v>
      </c>
      <c r="K45" t="n">
        <v>0.5214569992491528</v>
      </c>
      <c r="L45" t="b">
        <v>0</v>
      </c>
      <c r="M45" t="b">
        <v>0</v>
      </c>
      <c r="N45" t="inlineStr">
        <is>
          <t>alt</t>
        </is>
      </c>
      <c r="O45" t="n">
        <v>100</v>
      </c>
      <c r="P45" t="n">
        <v>0.007744</v>
      </c>
      <c r="Q45" t="n">
        <v>-90</v>
      </c>
      <c r="R45" t="n">
        <v>0.0988</v>
      </c>
      <c r="S45">
        <f>IMAGE("https://mitra.stanford.edu/kundaje/oak/projects/neuro-variants/variant_position/credible/roussos_2024/variant_figures/roussos_2024.childhood.Astrocyte/rs11264194_count_position.png",4,220,900)</f>
        <v/>
      </c>
      <c r="T45">
        <f>IMAGE("https://mitra.stanford.edu/kundaje/oak/projects/neuro-variants/variant_position/credible/roussos_2024/variant_figures/roussos_2024.childhood.Astrocyte/rs11264194_profile_position.png",4,220,900)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0.0797763185999999</v>
      </c>
      <c r="G46" t="n">
        <v>0.1046831993473629</v>
      </c>
      <c r="H46" t="n">
        <v>0.0163932227386334</v>
      </c>
      <c r="I46" t="n">
        <v>0.2316121141093289</v>
      </c>
      <c r="J46" t="n">
        <v>0.0035256043293413</v>
      </c>
      <c r="K46" t="n">
        <v>0.8130025757848285</v>
      </c>
      <c r="L46" t="b">
        <v>0</v>
      </c>
      <c r="M46" t="b">
        <v>0</v>
      </c>
      <c r="N46" t="inlineStr">
        <is>
          <t>alt</t>
        </is>
      </c>
      <c r="O46" t="n">
        <v>-75</v>
      </c>
      <c r="P46" t="n">
        <v>0.00759</v>
      </c>
      <c r="Q46" t="n">
        <v>80</v>
      </c>
      <c r="R46" t="n">
        <v>0.1501</v>
      </c>
      <c r="S46">
        <f>IMAGE("https://mitra.stanford.edu/kundaje/oak/projects/neuro-variants/variant_position/credible/roussos_2024/variant_figures/roussos_2024.childhood.Astrocyte/rs16822339_count_position.png",4,220,900)</f>
        <v/>
      </c>
      <c r="T46">
        <f>IMAGE("https://mitra.stanford.edu/kundaje/oak/projects/neuro-variants/variant_position/credible/roussos_2024/variant_figures/roussos_2024.childhood.Astrocyte/rs16822339_profile_position.png",4,220,900)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0.0109120552</v>
      </c>
      <c r="G47" t="n">
        <v>0.1286996280766316</v>
      </c>
      <c r="H47" t="n">
        <v>0.0146118701172353</v>
      </c>
      <c r="I47" t="n">
        <v>0.3221094144860265</v>
      </c>
      <c r="J47" t="n">
        <v>0.0289330066481951</v>
      </c>
      <c r="K47" t="n">
        <v>0.5480137658101324</v>
      </c>
      <c r="L47" t="b">
        <v>0</v>
      </c>
      <c r="M47" t="b">
        <v>0</v>
      </c>
      <c r="N47" t="inlineStr">
        <is>
          <t>alt</t>
        </is>
      </c>
      <c r="O47" t="n">
        <v>100</v>
      </c>
      <c r="P47" t="n">
        <v>0.02101</v>
      </c>
      <c r="Q47" t="n">
        <v>55</v>
      </c>
      <c r="R47" t="n">
        <v>0.07324</v>
      </c>
      <c r="S47">
        <f>IMAGE("https://mitra.stanford.edu/kundaje/oak/projects/neuro-variants/variant_position/credible/roussos_2024/variant_figures/roussos_2024.childhood.Astrocyte/rs12037102_count_position.png",4,220,900)</f>
        <v/>
      </c>
      <c r="T47">
        <f>IMAGE("https://mitra.stanford.edu/kundaje/oak/projects/neuro-variants/variant_position/credible/roussos_2024/variant_figures/roussos_2024.childhood.Astrocyte/rs12037102_profile_position.png",4,220,900)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-0.034850304</v>
      </c>
      <c r="G48" t="n">
        <v>0.3376525688087636</v>
      </c>
      <c r="H48" t="n">
        <v>0.0557247925636001</v>
      </c>
      <c r="I48" t="n">
        <v>0.0026465970731651</v>
      </c>
      <c r="J48" t="n">
        <v>0.0726882065138573</v>
      </c>
      <c r="K48" t="n">
        <v>0.3794783254747124</v>
      </c>
      <c r="L48" t="b">
        <v>1</v>
      </c>
      <c r="M48" t="b">
        <v>1</v>
      </c>
      <c r="N48" t="inlineStr">
        <is>
          <t>ref</t>
        </is>
      </c>
      <c r="O48" t="n">
        <v>100</v>
      </c>
      <c r="P48" t="n">
        <v>0.02113</v>
      </c>
      <c r="Q48" t="n">
        <v>100</v>
      </c>
      <c r="R48" t="n">
        <v>0.3613</v>
      </c>
      <c r="S48">
        <f>IMAGE("https://mitra.stanford.edu/kundaje/oak/projects/neuro-variants/variant_position/credible/roussos_2024/variant_figures/roussos_2024.childhood.Astrocyte/rs515346_count_position.png",4,220,900)</f>
        <v/>
      </c>
      <c r="T48">
        <f>IMAGE("https://mitra.stanford.edu/kundaje/oak/projects/neuro-variants/variant_position/credible/roussos_2024/variant_figures/roussos_2024.childhood.Astrocyte/rs515346_profile_position.png",4,220,900)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-0.0028028715699999</v>
      </c>
      <c r="G49" t="n">
        <v>0.8574330566075307</v>
      </c>
      <c r="H49" t="n">
        <v>0.0338841534424193</v>
      </c>
      <c r="I49" t="n">
        <v>0.0184830288593801</v>
      </c>
      <c r="J49" t="n">
        <v>0.0013410882889483</v>
      </c>
      <c r="K49" t="n">
        <v>0.8993031279713725</v>
      </c>
      <c r="L49" t="b">
        <v>0</v>
      </c>
      <c r="M49" t="b">
        <v>0</v>
      </c>
      <c r="N49" t="inlineStr">
        <is>
          <t>ref</t>
        </is>
      </c>
      <c r="O49" t="n">
        <v>80</v>
      </c>
      <c r="P49" t="n">
        <v>0.000977</v>
      </c>
      <c r="Q49" t="n">
        <v>100</v>
      </c>
      <c r="R49" t="n">
        <v>0.1792</v>
      </c>
      <c r="S49">
        <f>IMAGE("https://mitra.stanford.edu/kundaje/oak/projects/neuro-variants/variant_position/credible/roussos_2024/variant_figures/roussos_2024.childhood.Astrocyte/rs2765012_count_position.png",4,220,900)</f>
        <v/>
      </c>
      <c r="T49">
        <f>IMAGE("https://mitra.stanford.edu/kundaje/oak/projects/neuro-variants/variant_position/credible/roussos_2024/variant_figures/roussos_2024.childhood.Astrocyte/rs2765012_profile_position.png",4,220,900)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-0.128728292</v>
      </c>
      <c r="G50" t="n">
        <v>0.046680996969539</v>
      </c>
      <c r="H50" t="n">
        <v>0.020130438937808</v>
      </c>
      <c r="I50" t="n">
        <v>0.1250938974191929</v>
      </c>
      <c r="J50" t="n">
        <v>0.0022646607588559</v>
      </c>
      <c r="K50" t="n">
        <v>0.8475581140966643</v>
      </c>
      <c r="L50" t="b">
        <v>0</v>
      </c>
      <c r="M50" t="b">
        <v>0</v>
      </c>
      <c r="N50" t="inlineStr">
        <is>
          <t>ref</t>
        </is>
      </c>
      <c r="O50" t="n">
        <v>0</v>
      </c>
      <c r="P50" t="n">
        <v>0</v>
      </c>
      <c r="Q50" t="n">
        <v>-45</v>
      </c>
      <c r="R50" t="n">
        <v>0.03973</v>
      </c>
      <c r="S50">
        <f>IMAGE("https://mitra.stanford.edu/kundaje/oak/projects/neuro-variants/variant_position/credible/roussos_2024/variant_figures/roussos_2024.childhood.Astrocyte/rs647690_count_position.png",4,220,900)</f>
        <v/>
      </c>
      <c r="T50">
        <f>IMAGE("https://mitra.stanford.edu/kundaje/oak/projects/neuro-variants/variant_position/credible/roussos_2024/variant_figures/roussos_2024.childhood.Astrocyte/rs647690_profile_position.png",4,220,900)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0.0334470724</v>
      </c>
      <c r="G51" t="n">
        <v>0.3370953317165922</v>
      </c>
      <c r="H51" t="n">
        <v>0.0165873591538345</v>
      </c>
      <c r="I51" t="n">
        <v>0.223448904233416</v>
      </c>
      <c r="J51" t="n">
        <v>0.0037767244471922</v>
      </c>
      <c r="K51" t="n">
        <v>0.8084820645993303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0.1073</v>
      </c>
      <c r="Q51" t="n">
        <v>-100</v>
      </c>
      <c r="R51" t="n">
        <v>0.06018</v>
      </c>
      <c r="S51">
        <f>IMAGE("https://mitra.stanford.edu/kundaje/oak/projects/neuro-variants/variant_position/credible/roussos_2024/variant_figures/roussos_2024.childhood.Astrocyte/rs2791962_count_position.png",4,220,900)</f>
        <v/>
      </c>
      <c r="T51">
        <f>IMAGE("https://mitra.stanford.edu/kundaje/oak/projects/neuro-variants/variant_position/credible/roussos_2024/variant_figures/roussos_2024.childhood.Astrocyte/rs2791962_profile_position.png",4,220,900)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0.1317700369999999</v>
      </c>
      <c r="G52" t="n">
        <v>0.0423022366294768</v>
      </c>
      <c r="H52" t="n">
        <v>0.0381185102565133</v>
      </c>
      <c r="I52" t="n">
        <v>0.0122429679290661</v>
      </c>
      <c r="J52" t="n">
        <v>0.0031286971521909</v>
      </c>
      <c r="K52" t="n">
        <v>0.8240643226925213</v>
      </c>
      <c r="L52" t="b">
        <v>0</v>
      </c>
      <c r="M52" t="b">
        <v>0</v>
      </c>
      <c r="N52" t="inlineStr">
        <is>
          <t>alt</t>
        </is>
      </c>
      <c r="O52" t="n">
        <v>-70</v>
      </c>
      <c r="P52" t="n">
        <v>0.007939999999999999</v>
      </c>
      <c r="Q52" t="n">
        <v>100</v>
      </c>
      <c r="R52" t="n">
        <v>0.1617</v>
      </c>
      <c r="S52">
        <f>IMAGE("https://mitra.stanford.edu/kundaje/oak/projects/neuro-variants/variant_position/credible/roussos_2024/variant_figures/roussos_2024.childhood.Astrocyte/rs10796876_count_position.png",4,220,900)</f>
        <v/>
      </c>
      <c r="T52">
        <f>IMAGE("https://mitra.stanford.edu/kundaje/oak/projects/neuro-variants/variant_position/credible/roussos_2024/variant_figures/roussos_2024.childhood.Astrocyte/rs10796876_profile_position.png",4,220,900)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0.0214989662</v>
      </c>
      <c r="G53" t="n">
        <v>0.4883476697288417</v>
      </c>
      <c r="H53" t="n">
        <v>0.0351814965283627</v>
      </c>
      <c r="I53" t="n">
        <v>0.0160426840070464</v>
      </c>
      <c r="J53" t="n">
        <v>0.0007877080900368</v>
      </c>
      <c r="K53" t="n">
        <v>0.9201103831914516</v>
      </c>
      <c r="L53" t="b">
        <v>0</v>
      </c>
      <c r="M53" t="b">
        <v>0</v>
      </c>
      <c r="N53" t="inlineStr">
        <is>
          <t>alt</t>
        </is>
      </c>
      <c r="O53" t="n">
        <v>-55</v>
      </c>
      <c r="P53" t="n">
        <v>0.00717</v>
      </c>
      <c r="Q53" t="n">
        <v>-100</v>
      </c>
      <c r="R53" t="n">
        <v>0.1284</v>
      </c>
      <c r="S53">
        <f>IMAGE("https://mitra.stanford.edu/kundaje/oak/projects/neuro-variants/variant_position/credible/roussos_2024/variant_figures/roussos_2024.childhood.Astrocyte/rs709309_count_position.png",4,220,900)</f>
        <v/>
      </c>
      <c r="T53">
        <f>IMAGE("https://mitra.stanford.edu/kundaje/oak/projects/neuro-variants/variant_position/credible/roussos_2024/variant_figures/roussos_2024.childhood.Astrocyte/rs709309_profile_position.png",4,220,900)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-0.151470522</v>
      </c>
      <c r="G54" t="n">
        <v>0.0384747336483651</v>
      </c>
      <c r="H54" t="n">
        <v>0.0246618717950055</v>
      </c>
      <c r="I54" t="n">
        <v>0.0839016513538372</v>
      </c>
      <c r="J54" t="n">
        <v>0.0071962324349491</v>
      </c>
      <c r="K54" t="n">
        <v>0.7527752188245388</v>
      </c>
      <c r="L54" t="b">
        <v>0</v>
      </c>
      <c r="M54" t="b">
        <v>0</v>
      </c>
      <c r="N54" t="inlineStr">
        <is>
          <t>ref</t>
        </is>
      </c>
      <c r="O54" t="n">
        <v>-95</v>
      </c>
      <c r="P54" t="n">
        <v>0.01102</v>
      </c>
      <c r="Q54" t="n">
        <v>40</v>
      </c>
      <c r="R54" t="n">
        <v>0.02307</v>
      </c>
      <c r="S54">
        <f>IMAGE("https://mitra.stanford.edu/kundaje/oak/projects/neuro-variants/variant_position/credible/roussos_2024/variant_figures/roussos_2024.childhood.Astrocyte/rs274728_count_position.png",4,220,900)</f>
        <v/>
      </c>
      <c r="T54">
        <f>IMAGE("https://mitra.stanford.edu/kundaje/oak/projects/neuro-variants/variant_position/credible/roussos_2024/variant_figures/roussos_2024.childhood.Astrocyte/rs274728_profile_position.png",4,220,900)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-0.01167806208</v>
      </c>
      <c r="G55" t="n">
        <v>0.6919755189434488</v>
      </c>
      <c r="H55" t="n">
        <v>0.0280663388682545</v>
      </c>
      <c r="I55" t="n">
        <v>0.0382209715680511</v>
      </c>
      <c r="J55" t="n">
        <v>0.0072435559829939</v>
      </c>
      <c r="K55" t="n">
        <v>0.7304784712120928</v>
      </c>
      <c r="L55" t="b">
        <v>0</v>
      </c>
      <c r="M55" t="b">
        <v>0</v>
      </c>
      <c r="N55" t="inlineStr">
        <is>
          <t>ref</t>
        </is>
      </c>
      <c r="O55" t="n">
        <v>-20</v>
      </c>
      <c r="P55" t="n">
        <v>0.00415</v>
      </c>
      <c r="Q55" t="n">
        <v>-5</v>
      </c>
      <c r="R55" t="n">
        <v>0.02356</v>
      </c>
      <c r="S55">
        <f>IMAGE("https://mitra.stanford.edu/kundaje/oak/projects/neuro-variants/variant_position/credible/roussos_2024/variant_figures/roussos_2024.childhood.Astrocyte/rs812106_count_position.png",4,220,900)</f>
        <v/>
      </c>
      <c r="T55">
        <f>IMAGE("https://mitra.stanford.edu/kundaje/oak/projects/neuro-variants/variant_position/credible/roussos_2024/variant_figures/roussos_2024.childhood.Astrocyte/rs812106_profile_position.png",4,220,900)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-0.1061672912</v>
      </c>
      <c r="G56" t="n">
        <v>0.0829225768160092</v>
      </c>
      <c r="H56" t="n">
        <v>0.0246358783578426</v>
      </c>
      <c r="I56" t="n">
        <v>0.0753529659000384</v>
      </c>
      <c r="J56" t="n">
        <v>0.289993359437613</v>
      </c>
      <c r="K56" t="n">
        <v>0.1367663678340474</v>
      </c>
      <c r="L56" t="b">
        <v>0</v>
      </c>
      <c r="M56" t="b">
        <v>0</v>
      </c>
      <c r="N56" t="inlineStr">
        <is>
          <t>ref</t>
        </is>
      </c>
      <c r="O56" t="n">
        <v>-90</v>
      </c>
      <c r="P56" t="n">
        <v>0.004547</v>
      </c>
      <c r="Q56" t="n">
        <v>20</v>
      </c>
      <c r="R56" t="n">
        <v>0.03308</v>
      </c>
      <c r="S56">
        <f>IMAGE("https://mitra.stanford.edu/kundaje/oak/projects/neuro-variants/variant_position/credible/roussos_2024/variant_figures/roussos_2024.childhood.Astrocyte/rs7542594_count_position.png",4,220,900)</f>
        <v/>
      </c>
      <c r="T56">
        <f>IMAGE("https://mitra.stanford.edu/kundaje/oak/projects/neuro-variants/variant_position/credible/roussos_2024/variant_figures/roussos_2024.childhood.Astrocyte/rs7542594_profile_position.png",4,220,900)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-0.03084797948</v>
      </c>
      <c r="G57" t="n">
        <v>0.4031059777267893</v>
      </c>
      <c r="H57" t="n">
        <v>0.0110239477051551</v>
      </c>
      <c r="I57" t="n">
        <v>0.6047436600542867</v>
      </c>
      <c r="J57" t="n">
        <v>0.122599284040515</v>
      </c>
      <c r="K57" t="n">
        <v>0.2935134927991422</v>
      </c>
      <c r="L57" t="b">
        <v>0</v>
      </c>
      <c r="M57" t="b">
        <v>0</v>
      </c>
      <c r="N57" t="inlineStr">
        <is>
          <t>ref</t>
        </is>
      </c>
      <c r="O57" t="n">
        <v>100</v>
      </c>
      <c r="P57" t="n">
        <v>0.008189999999999999</v>
      </c>
      <c r="Q57" t="n">
        <v>100</v>
      </c>
      <c r="R57" t="n">
        <v>0.275</v>
      </c>
      <c r="S57">
        <f>IMAGE("https://mitra.stanford.edu/kundaje/oak/projects/neuro-variants/variant_position/credible/roussos_2024/variant_figures/roussos_2024.childhood.Astrocyte/rs839993_count_position.png",4,220,900)</f>
        <v/>
      </c>
      <c r="T57">
        <f>IMAGE("https://mitra.stanford.edu/kundaje/oak/projects/neuro-variants/variant_position/credible/roussos_2024/variant_figures/roussos_2024.childhood.Astrocyte/rs839993_profile_position.png",4,220,900)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0.00580714332</v>
      </c>
      <c r="G58" t="n">
        <v>0.777542426623174</v>
      </c>
      <c r="H58" t="n">
        <v>0.0244859440020994</v>
      </c>
      <c r="I58" t="n">
        <v>0.0644955926144052</v>
      </c>
      <c r="J58" t="n">
        <v>0.0027508720508651</v>
      </c>
      <c r="K58" t="n">
        <v>0.8327748874191659</v>
      </c>
      <c r="L58" t="b">
        <v>0</v>
      </c>
      <c r="M58" t="b">
        <v>0</v>
      </c>
      <c r="N58" t="inlineStr">
        <is>
          <t>alt</t>
        </is>
      </c>
      <c r="O58" t="n">
        <v>65</v>
      </c>
      <c r="P58" t="n">
        <v>0.07389999999999999</v>
      </c>
      <c r="Q58" t="n">
        <v>-95</v>
      </c>
      <c r="R58" t="n">
        <v>0.04578</v>
      </c>
      <c r="S58">
        <f>IMAGE("https://mitra.stanford.edu/kundaje/oak/projects/neuro-variants/variant_position/credible/roussos_2024/variant_figures/roussos_2024.childhood.Astrocyte/rs839996_count_position.png",4,220,900)</f>
        <v/>
      </c>
      <c r="T58">
        <f>IMAGE("https://mitra.stanford.edu/kundaje/oak/projects/neuro-variants/variant_position/credible/roussos_2024/variant_figures/roussos_2024.childhood.Astrocyte/rs839996_profile_position.png",4,220,900)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-0.433021786</v>
      </c>
      <c r="G59" t="n">
        <v>0.0018243688906564</v>
      </c>
      <c r="H59" t="n">
        <v>0.0451077450882703</v>
      </c>
      <c r="I59" t="n">
        <v>0.0073129765438197</v>
      </c>
      <c r="J59" t="n">
        <v>0.0822384038225213</v>
      </c>
      <c r="K59" t="n">
        <v>0.3747290999730751</v>
      </c>
      <c r="L59" t="b">
        <v>1</v>
      </c>
      <c r="M59" t="b">
        <v>1</v>
      </c>
      <c r="N59" t="inlineStr">
        <is>
          <t>ref</t>
        </is>
      </c>
      <c r="O59" t="n">
        <v>100</v>
      </c>
      <c r="P59" t="n">
        <v>0.08740000000000001</v>
      </c>
      <c r="Q59" t="n">
        <v>-60</v>
      </c>
      <c r="R59" t="n">
        <v>0.1555</v>
      </c>
      <c r="S59">
        <f>IMAGE("https://mitra.stanford.edu/kundaje/oak/projects/neuro-variants/variant_position/credible/roussos_2024/variant_figures/roussos_2024.childhood.Astrocyte/rs11587504_count_position.png",4,220,900)</f>
        <v/>
      </c>
      <c r="T59">
        <f>IMAGE("https://mitra.stanford.edu/kundaje/oak/projects/neuro-variants/variant_position/credible/roussos_2024/variant_figures/roussos_2024.childhood.Astrocyte/rs11587504_profile_position.png",4,220,900)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-0.00726339938</v>
      </c>
      <c r="G60" t="n">
        <v>0.7854340089413597</v>
      </c>
      <c r="H60" t="n">
        <v>0.0222215956724213</v>
      </c>
      <c r="I60" t="n">
        <v>0.0898508421719504</v>
      </c>
      <c r="J60" t="n">
        <v>0.0545396258386571</v>
      </c>
      <c r="K60" t="n">
        <v>0.4397415988445741</v>
      </c>
      <c r="L60" t="b">
        <v>0</v>
      </c>
      <c r="M60" t="b">
        <v>0</v>
      </c>
      <c r="N60" t="inlineStr">
        <is>
          <t>ref</t>
        </is>
      </c>
      <c r="O60" t="n">
        <v>-100</v>
      </c>
      <c r="P60" t="n">
        <v>0.1194</v>
      </c>
      <c r="Q60" t="n">
        <v>-100</v>
      </c>
      <c r="R60" t="n">
        <v>0.089</v>
      </c>
      <c r="S60">
        <f>IMAGE("https://mitra.stanford.edu/kundaje/oak/projects/neuro-variants/variant_position/credible/roussos_2024/variant_figures/roussos_2024.childhood.Astrocyte/rs685756_count_position.png",4,220,900)</f>
        <v/>
      </c>
      <c r="T60">
        <f>IMAGE("https://mitra.stanford.edu/kundaje/oak/projects/neuro-variants/variant_position/credible/roussos_2024/variant_figures/roussos_2024.childhood.Astrocyte/rs685756_profile_position.png",4,220,900)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0.060136055</v>
      </c>
      <c r="G61" t="n">
        <v>0.1648543904141898</v>
      </c>
      <c r="H61" t="n">
        <v>0.017350540285856</v>
      </c>
      <c r="I61" t="n">
        <v>0.2025096253482441</v>
      </c>
      <c r="J61" t="n">
        <v>0.0484974773495759</v>
      </c>
      <c r="K61" t="n">
        <v>0.4585748857006816</v>
      </c>
      <c r="L61" t="b">
        <v>0</v>
      </c>
      <c r="M61" t="b">
        <v>0</v>
      </c>
      <c r="N61" t="inlineStr">
        <is>
          <t>alt</t>
        </is>
      </c>
      <c r="O61" t="n">
        <v>20</v>
      </c>
      <c r="P61" t="n">
        <v>0.001892</v>
      </c>
      <c r="Q61" t="n">
        <v>-10</v>
      </c>
      <c r="R61" t="n">
        <v>0.007324</v>
      </c>
      <c r="S61">
        <f>IMAGE("https://mitra.stanford.edu/kundaje/oak/projects/neuro-variants/variant_position/credible/roussos_2024/variant_figures/roussos_2024.childhood.Astrocyte/rs839761_count_position.png",4,220,900)</f>
        <v/>
      </c>
      <c r="T61">
        <f>IMAGE("https://mitra.stanford.edu/kundaje/oak/projects/neuro-variants/variant_position/credible/roussos_2024/variant_figures/roussos_2024.childhood.Astrocyte/rs839761_profile_position.png",4,220,900)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0.062708334</v>
      </c>
      <c r="G62" t="n">
        <v>0.1559282321683714</v>
      </c>
      <c r="H62" t="n">
        <v>0.0143343961582018</v>
      </c>
      <c r="I62" t="n">
        <v>0.3535469113175719</v>
      </c>
      <c r="J62" t="n">
        <v>0.0029676444322318</v>
      </c>
      <c r="K62" t="n">
        <v>0.8271006393732355</v>
      </c>
      <c r="L62" t="b">
        <v>0</v>
      </c>
      <c r="M62" t="b">
        <v>0</v>
      </c>
      <c r="N62" t="inlineStr">
        <is>
          <t>alt</t>
        </is>
      </c>
      <c r="O62" t="n">
        <v>-25</v>
      </c>
      <c r="P62" t="n">
        <v>0.01704</v>
      </c>
      <c r="Q62" t="n">
        <v>0</v>
      </c>
      <c r="R62" t="n">
        <v>0</v>
      </c>
      <c r="S62">
        <f>IMAGE("https://mitra.stanford.edu/kundaje/oak/projects/neuro-variants/variant_position/credible/roussos_2024/variant_figures/roussos_2024.childhood.Astrocyte/rs3001721_count_position.png",4,220,900)</f>
        <v/>
      </c>
      <c r="T62">
        <f>IMAGE("https://mitra.stanford.edu/kundaje/oak/projects/neuro-variants/variant_position/credible/roussos_2024/variant_figures/roussos_2024.childhood.Astrocyte/rs3001721_profile_position.png",4,220,900)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-0.0100961593</v>
      </c>
      <c r="G63" t="n">
        <v>0.7280520195649458</v>
      </c>
      <c r="H63" t="n">
        <v>0.0305509983134369</v>
      </c>
      <c r="I63" t="n">
        <v>0.0274684400175918</v>
      </c>
      <c r="J63" t="n">
        <v>0.1751475044461236</v>
      </c>
      <c r="K63" t="n">
        <v>0.2236288271244406</v>
      </c>
      <c r="L63" t="b">
        <v>0</v>
      </c>
      <c r="M63" t="b">
        <v>0</v>
      </c>
      <c r="N63" t="inlineStr">
        <is>
          <t>ref</t>
        </is>
      </c>
      <c r="O63" t="n">
        <v>100</v>
      </c>
      <c r="P63" t="n">
        <v>0.03418</v>
      </c>
      <c r="Q63" t="n">
        <v>100</v>
      </c>
      <c r="R63" t="n">
        <v>0.3179</v>
      </c>
      <c r="S63">
        <f>IMAGE("https://mitra.stanford.edu/kundaje/oak/projects/neuro-variants/variant_position/credible/roussos_2024/variant_figures/roussos_2024.childhood.Astrocyte/rs72671121_count_position.png",4,220,900)</f>
        <v/>
      </c>
      <c r="T63">
        <f>IMAGE("https://mitra.stanford.edu/kundaje/oak/projects/neuro-variants/variant_position/credible/roussos_2024/variant_figures/roussos_2024.childhood.Astrocyte/rs72671121_profile_position.png",4,220,900)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0.0229132476</v>
      </c>
      <c r="G64" t="n">
        <v>0.4807324820413012</v>
      </c>
      <c r="H64" t="n">
        <v>0.0121498073106949</v>
      </c>
      <c r="I64" t="n">
        <v>0.5000621121732283</v>
      </c>
      <c r="J64" t="n">
        <v>0.2634708006075733</v>
      </c>
      <c r="K64" t="n">
        <v>0.154598378850926</v>
      </c>
      <c r="L64" t="b">
        <v>0</v>
      </c>
      <c r="M64" t="b">
        <v>0</v>
      </c>
      <c r="N64" t="inlineStr">
        <is>
          <t>alt</t>
        </is>
      </c>
      <c r="O64" t="n">
        <v>100</v>
      </c>
      <c r="P64" t="n">
        <v>0.002968</v>
      </c>
      <c r="Q64" t="n">
        <v>10</v>
      </c>
      <c r="R64" t="n">
        <v>0.00354</v>
      </c>
      <c r="S64">
        <f>IMAGE("https://mitra.stanford.edu/kundaje/oak/projects/neuro-variants/variant_position/credible/roussos_2024/variant_figures/roussos_2024.childhood.Astrocyte/rs2027130_count_position.png",4,220,900)</f>
        <v/>
      </c>
      <c r="T64">
        <f>IMAGE("https://mitra.stanford.edu/kundaje/oak/projects/neuro-variants/variant_position/credible/roussos_2024/variant_figures/roussos_2024.childhood.Astrocyte/rs2027130_profile_position.png",4,220,900)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-0.0365928792</v>
      </c>
      <c r="G65" t="n">
        <v>0.3350552099518114</v>
      </c>
      <c r="H65" t="n">
        <v>0.0131278104719419</v>
      </c>
      <c r="I65" t="n">
        <v>0.4160326881749717</v>
      </c>
      <c r="J65" t="n">
        <v>0.0112660575668062</v>
      </c>
      <c r="K65" t="n">
        <v>0.6717771506908573</v>
      </c>
      <c r="L65" t="b">
        <v>0</v>
      </c>
      <c r="M65" t="b">
        <v>0</v>
      </c>
      <c r="N65" t="inlineStr">
        <is>
          <t>ref</t>
        </is>
      </c>
      <c r="O65" t="n">
        <v>85</v>
      </c>
      <c r="P65" t="n">
        <v>0.02173</v>
      </c>
      <c r="Q65" t="n">
        <v>-35</v>
      </c>
      <c r="R65" t="n">
        <v>0.06836</v>
      </c>
      <c r="S65">
        <f>IMAGE("https://mitra.stanford.edu/kundaje/oak/projects/neuro-variants/variant_position/credible/roussos_2024/variant_figures/roussos_2024.childhood.Astrocyte/rs2494994_count_position.png",4,220,900)</f>
        <v/>
      </c>
      <c r="T65">
        <f>IMAGE("https://mitra.stanford.edu/kundaje/oak/projects/neuro-variants/variant_position/credible/roussos_2024/variant_figures/roussos_2024.childhood.Astrocyte/rs2494994_profile_position.png",4,220,900)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0.265756236</v>
      </c>
      <c r="G66" t="n">
        <v>0.008642088708933401</v>
      </c>
      <c r="H66" t="n">
        <v>0.0544276916821363</v>
      </c>
      <c r="I66" t="n">
        <v>0.0030751517955718</v>
      </c>
      <c r="J66" t="n">
        <v>0.0019807194705868</v>
      </c>
      <c r="K66" t="n">
        <v>0.8610875582410251</v>
      </c>
      <c r="L66" t="b">
        <v>1</v>
      </c>
      <c r="M66" t="b">
        <v>1</v>
      </c>
      <c r="N66" t="inlineStr">
        <is>
          <t>alt</t>
        </is>
      </c>
      <c r="O66" t="n">
        <v>95</v>
      </c>
      <c r="P66" t="n">
        <v>0.01406</v>
      </c>
      <c r="Q66" t="n">
        <v>65</v>
      </c>
      <c r="R66" t="n">
        <v>0.0979</v>
      </c>
      <c r="S66">
        <f>IMAGE("https://mitra.stanford.edu/kundaje/oak/projects/neuro-variants/variant_position/credible/roussos_2024/variant_figures/roussos_2024.childhood.Astrocyte/rs2842196_count_position.png",4,220,900)</f>
        <v/>
      </c>
      <c r="T66">
        <f>IMAGE("https://mitra.stanford.edu/kundaje/oak/projects/neuro-variants/variant_position/credible/roussos_2024/variant_figures/roussos_2024.childhood.Astrocyte/rs2842196_profile_position.png",4,220,900)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-0.0483268452</v>
      </c>
      <c r="G67" t="n">
        <v>0.1810421213657611</v>
      </c>
      <c r="H67" t="n">
        <v>0.0351249001527281</v>
      </c>
      <c r="I67" t="n">
        <v>0.0223045619287153</v>
      </c>
      <c r="J67" t="n">
        <v>0.0661087067695571</v>
      </c>
      <c r="K67" t="n">
        <v>0.3996589021627615</v>
      </c>
      <c r="L67" t="b">
        <v>0</v>
      </c>
      <c r="M67" t="b">
        <v>0</v>
      </c>
      <c r="N67" t="inlineStr">
        <is>
          <t>ref</t>
        </is>
      </c>
      <c r="O67" t="n">
        <v>90</v>
      </c>
      <c r="P67" t="n">
        <v>0.01254</v>
      </c>
      <c r="Q67" t="n">
        <v>-30</v>
      </c>
      <c r="R67" t="n">
        <v>0.01685</v>
      </c>
      <c r="S67">
        <f>IMAGE("https://mitra.stanford.edu/kundaje/oak/projects/neuro-variants/variant_position/credible/roussos_2024/variant_figures/roussos_2024.childhood.Astrocyte/rs7413861_count_position.png",4,220,900)</f>
        <v/>
      </c>
      <c r="T67">
        <f>IMAGE("https://mitra.stanford.edu/kundaje/oak/projects/neuro-variants/variant_position/credible/roussos_2024/variant_figures/roussos_2024.childhood.Astrocyte/rs7413861_profile_position.png",4,220,900)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0.0120083068</v>
      </c>
      <c r="G68" t="n">
        <v>0.6788251603802106</v>
      </c>
      <c r="H68" t="n">
        <v>0.0482357441224409</v>
      </c>
      <c r="I68" t="n">
        <v>0.0046210493559122</v>
      </c>
      <c r="J68" t="n">
        <v>0.0005800951050658</v>
      </c>
      <c r="K68" t="n">
        <v>0.9291748686089776</v>
      </c>
      <c r="L68" t="b">
        <v>0</v>
      </c>
      <c r="M68" t="b">
        <v>0</v>
      </c>
      <c r="N68" t="inlineStr">
        <is>
          <t>alt</t>
        </is>
      </c>
      <c r="O68" t="n">
        <v>-95</v>
      </c>
      <c r="P68" t="n">
        <v>0.03088</v>
      </c>
      <c r="Q68" t="n">
        <v>-55</v>
      </c>
      <c r="R68" t="n">
        <v>0.01611</v>
      </c>
      <c r="S68">
        <f>IMAGE("https://mitra.stanford.edu/kundaje/oak/projects/neuro-variants/variant_position/credible/roussos_2024/variant_figures/roussos_2024.childhood.Astrocyte/rs10789433_count_position.png",4,220,900)</f>
        <v/>
      </c>
      <c r="T68">
        <f>IMAGE("https://mitra.stanford.edu/kundaje/oak/projects/neuro-variants/variant_position/credible/roussos_2024/variant_figures/roussos_2024.childhood.Astrocyte/rs10789433_profile_position.png",4,220,900)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-0.009049335259999999</v>
      </c>
      <c r="G69" t="n">
        <v>0.7360283021939521</v>
      </c>
      <c r="H69" t="n">
        <v>0.0321669790481432</v>
      </c>
      <c r="I69" t="n">
        <v>0.0229740522020861</v>
      </c>
      <c r="J69" t="n">
        <v>0.0006381046155724</v>
      </c>
      <c r="K69" t="n">
        <v>0.9243422175532324</v>
      </c>
      <c r="L69" t="b">
        <v>0</v>
      </c>
      <c r="M69" t="b">
        <v>0</v>
      </c>
      <c r="N69" t="inlineStr">
        <is>
          <t>ref</t>
        </is>
      </c>
      <c r="O69" t="n">
        <v>-55</v>
      </c>
      <c r="P69" t="n">
        <v>0.009705</v>
      </c>
      <c r="Q69" t="n">
        <v>-75</v>
      </c>
      <c r="R69" t="n">
        <v>0.0843</v>
      </c>
      <c r="S69">
        <f>IMAGE("https://mitra.stanford.edu/kundaje/oak/projects/neuro-variants/variant_position/credible/roussos_2024/variant_figures/roussos_2024.childhood.Astrocyte/rs10732843_count_position.png",4,220,900)</f>
        <v/>
      </c>
      <c r="T69">
        <f>IMAGE("https://mitra.stanford.edu/kundaje/oak/projects/neuro-variants/variant_position/credible/roussos_2024/variant_figures/roussos_2024.childhood.Astrocyte/rs10732843_profile_position.png",4,220,900)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0.0529269838</v>
      </c>
      <c r="G70" t="n">
        <v>0.1907723002991753</v>
      </c>
      <c r="H70" t="n">
        <v>0.0159331831202427</v>
      </c>
      <c r="I70" t="n">
        <v>0.252320113385</v>
      </c>
      <c r="J70" t="n">
        <v>0.1620862051857449</v>
      </c>
      <c r="K70" t="n">
        <v>0.2435873320350622</v>
      </c>
      <c r="L70" t="b">
        <v>0</v>
      </c>
      <c r="M70" t="b">
        <v>0</v>
      </c>
      <c r="N70" t="inlineStr">
        <is>
          <t>alt</t>
        </is>
      </c>
      <c r="O70" t="n">
        <v>-80</v>
      </c>
      <c r="P70" t="n">
        <v>0.05222</v>
      </c>
      <c r="Q70" t="n">
        <v>35</v>
      </c>
      <c r="R70" t="n">
        <v>0.0786</v>
      </c>
      <c r="S70">
        <f>IMAGE("https://mitra.stanford.edu/kundaje/oak/projects/neuro-variants/variant_position/credible/roussos_2024/variant_figures/roussos_2024.childhood.Astrocyte/rs2077652_count_position.png",4,220,900)</f>
        <v/>
      </c>
      <c r="T70">
        <f>IMAGE("https://mitra.stanford.edu/kundaje/oak/projects/neuro-variants/variant_position/credible/roussos_2024/variant_figures/roussos_2024.childhood.Astrocyte/rs2077652_profile_position.png",4,220,900)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-0.0279771573999999</v>
      </c>
      <c r="G71" t="n">
        <v>0.3384603293121914</v>
      </c>
      <c r="H71" t="n">
        <v>0.0148306802917594</v>
      </c>
      <c r="I71" t="n">
        <v>0.3240622385540816</v>
      </c>
      <c r="J71" t="n">
        <v>0.2405387251646783</v>
      </c>
      <c r="K71" t="n">
        <v>0.1697832480523221</v>
      </c>
      <c r="L71" t="b">
        <v>0</v>
      </c>
      <c r="M71" t="b">
        <v>0</v>
      </c>
      <c r="N71" t="inlineStr">
        <is>
          <t>ref</t>
        </is>
      </c>
      <c r="O71" t="n">
        <v>90</v>
      </c>
      <c r="P71" t="n">
        <v>0.0003624</v>
      </c>
      <c r="Q71" t="n">
        <v>50</v>
      </c>
      <c r="R71" t="n">
        <v>0.02966</v>
      </c>
      <c r="S71">
        <f>IMAGE("https://mitra.stanford.edu/kundaje/oak/projects/neuro-variants/variant_position/credible/roussos_2024/variant_figures/roussos_2024.childhood.Astrocyte/rs16830935_count_position.png",4,220,900)</f>
        <v/>
      </c>
      <c r="T71">
        <f>IMAGE("https://mitra.stanford.edu/kundaje/oak/projects/neuro-variants/variant_position/credible/roussos_2024/variant_figures/roussos_2024.childhood.Astrocyte/rs16830935_profile_position.png",4,220,900)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-0.0020700574799999</v>
      </c>
      <c r="G72" t="n">
        <v>0.7950745951634822</v>
      </c>
      <c r="H72" t="n">
        <v>0.0122176231701976</v>
      </c>
      <c r="I72" t="n">
        <v>0.4927123205799874</v>
      </c>
      <c r="J72" t="n">
        <v>0.0448963079999694</v>
      </c>
      <c r="K72" t="n">
        <v>0.4630869959236534</v>
      </c>
      <c r="L72" t="b">
        <v>0</v>
      </c>
      <c r="M72" t="b">
        <v>0</v>
      </c>
      <c r="N72" t="inlineStr">
        <is>
          <t>ref</t>
        </is>
      </c>
      <c r="O72" t="n">
        <v>-10</v>
      </c>
      <c r="P72" t="n">
        <v>0.000417</v>
      </c>
      <c r="Q72" t="n">
        <v>-10</v>
      </c>
      <c r="R72" t="n">
        <v>0.00241</v>
      </c>
      <c r="S72">
        <f>IMAGE("https://mitra.stanford.edu/kundaje/oak/projects/neuro-variants/variant_position/credible/roussos_2024/variant_figures/roussos_2024.childhood.Astrocyte/rs10890265_count_position.png",4,220,900)</f>
        <v/>
      </c>
      <c r="T72">
        <f>IMAGE("https://mitra.stanford.edu/kundaje/oak/projects/neuro-variants/variant_position/credible/roussos_2024/variant_figures/roussos_2024.childhood.Astrocyte/rs10890265_profile_position.png",4,220,900)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0.0453960017199999</v>
      </c>
      <c r="G73" t="n">
        <v>0.2377474478643118</v>
      </c>
      <c r="H73" t="n">
        <v>0.0156526834933679</v>
      </c>
      <c r="I73" t="n">
        <v>0.2650512806785938</v>
      </c>
      <c r="J73" t="n">
        <v>0.0762321296359902</v>
      </c>
      <c r="K73" t="n">
        <v>0.383085661214193</v>
      </c>
      <c r="L73" t="b">
        <v>0</v>
      </c>
      <c r="M73" t="b">
        <v>0</v>
      </c>
      <c r="N73" t="inlineStr">
        <is>
          <t>alt</t>
        </is>
      </c>
      <c r="O73" t="n">
        <v>100</v>
      </c>
      <c r="P73" t="n">
        <v>0.00571</v>
      </c>
      <c r="Q73" t="n">
        <v>5</v>
      </c>
      <c r="R73" t="n">
        <v>0.0116</v>
      </c>
      <c r="S73">
        <f>IMAGE("https://mitra.stanford.edu/kundaje/oak/projects/neuro-variants/variant_position/credible/roussos_2024/variant_figures/roussos_2024.childhood.Astrocyte/rs603542_count_position.png",4,220,900)</f>
        <v/>
      </c>
      <c r="T73">
        <f>IMAGE("https://mitra.stanford.edu/kundaje/oak/projects/neuro-variants/variant_position/credible/roussos_2024/variant_figures/roussos_2024.childhood.Astrocyte/rs603542_profile_position.png",4,220,900)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-0.02493881428</v>
      </c>
      <c r="G74" t="n">
        <v>0.4461247813626545</v>
      </c>
      <c r="H74" t="n">
        <v>0.0106184453017101</v>
      </c>
      <c r="I74" t="n">
        <v>0.6374001495727393</v>
      </c>
      <c r="J74" t="n">
        <v>0.1169387770679245</v>
      </c>
      <c r="K74" t="n">
        <v>0.3009421614109114</v>
      </c>
      <c r="L74" t="b">
        <v>0</v>
      </c>
      <c r="M74" t="b">
        <v>0</v>
      </c>
      <c r="N74" t="inlineStr">
        <is>
          <t>ref</t>
        </is>
      </c>
      <c r="O74" t="n">
        <v>-100</v>
      </c>
      <c r="P74" t="n">
        <v>0.00209</v>
      </c>
      <c r="Q74" t="n">
        <v>-95</v>
      </c>
      <c r="R74" t="n">
        <v>0.0434</v>
      </c>
      <c r="S74">
        <f>IMAGE("https://mitra.stanford.edu/kundaje/oak/projects/neuro-variants/variant_position/credible/roussos_2024/variant_figures/roussos_2024.childhood.Astrocyte/rs16831024_count_position.png",4,220,900)</f>
        <v/>
      </c>
      <c r="T74">
        <f>IMAGE("https://mitra.stanford.edu/kundaje/oak/projects/neuro-variants/variant_position/credible/roussos_2024/variant_figures/roussos_2024.childhood.Astrocyte/rs16831024_profile_position.png",4,220,900)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0.1388554052</v>
      </c>
      <c r="G75" t="n">
        <v>0.0400139301053511</v>
      </c>
      <c r="H75" t="n">
        <v>0.02513877364598</v>
      </c>
      <c r="I75" t="n">
        <v>0.0593577631819833</v>
      </c>
      <c r="J75" t="n">
        <v>0.3054162564020364</v>
      </c>
      <c r="K75" t="n">
        <v>0.1301203698415647</v>
      </c>
      <c r="L75" t="b">
        <v>0</v>
      </c>
      <c r="M75" t="b">
        <v>0</v>
      </c>
      <c r="N75" t="inlineStr">
        <is>
          <t>alt</t>
        </is>
      </c>
      <c r="O75" t="n">
        <v>-100</v>
      </c>
      <c r="P75" t="n">
        <v>0.00116</v>
      </c>
      <c r="Q75" t="n">
        <v>55</v>
      </c>
      <c r="R75" t="n">
        <v>0.02197</v>
      </c>
      <c r="S75">
        <f>IMAGE("https://mitra.stanford.edu/kundaje/oak/projects/neuro-variants/variant_position/credible/roussos_2024/variant_figures/roussos_2024.childhood.Astrocyte/rs1143702_count_position.png",4,220,900)</f>
        <v/>
      </c>
      <c r="T75">
        <f>IMAGE("https://mitra.stanford.edu/kundaje/oak/projects/neuro-variants/variant_position/credible/roussos_2024/variant_figures/roussos_2024.childhood.Astrocyte/rs1143702_profile_position.png",4,220,900)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-0.131733419</v>
      </c>
      <c r="G76" t="n">
        <v>0.0445164861002766</v>
      </c>
      <c r="H76" t="n">
        <v>0.0275445472365954</v>
      </c>
      <c r="I76" t="n">
        <v>0.0423108943725848</v>
      </c>
      <c r="J76" t="n">
        <v>0.0740415073313334</v>
      </c>
      <c r="K76" t="n">
        <v>0.3762925539847612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0.01145</v>
      </c>
      <c r="Q76" t="n">
        <v>20</v>
      </c>
      <c r="R76" t="n">
        <v>0.02051</v>
      </c>
      <c r="S76">
        <f>IMAGE("https://mitra.stanford.edu/kundaje/oak/projects/neuro-variants/variant_position/credible/roussos_2024/variant_figures/roussos_2024.childhood.Astrocyte/rs11210894_count_position.png",4,220,900)</f>
        <v/>
      </c>
      <c r="T76">
        <f>IMAGE("https://mitra.stanford.edu/kundaje/oak/projects/neuro-variants/variant_position/credible/roussos_2024/variant_figures/roussos_2024.childhood.Astrocyte/rs11210894_profile_position.png",4,220,900)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-0.23728172</v>
      </c>
      <c r="G77" t="n">
        <v>0.0113104918945641</v>
      </c>
      <c r="H77" t="n">
        <v>0.0172643281928428</v>
      </c>
      <c r="I77" t="n">
        <v>0.2016505496250129</v>
      </c>
      <c r="J77" t="n">
        <v>0.2168059658201857</v>
      </c>
      <c r="K77" t="n">
        <v>0.1863585113016228</v>
      </c>
      <c r="L77" t="b">
        <v>1</v>
      </c>
      <c r="M77" t="b">
        <v>0</v>
      </c>
      <c r="N77" t="inlineStr">
        <is>
          <t>ref</t>
        </is>
      </c>
      <c r="O77" t="n">
        <v>100</v>
      </c>
      <c r="P77" t="n">
        <v>0.0663</v>
      </c>
      <c r="Q77" t="n">
        <v>45</v>
      </c>
      <c r="R77" t="n">
        <v>0.0674</v>
      </c>
      <c r="S77">
        <f>IMAGE("https://mitra.stanford.edu/kundaje/oak/projects/neuro-variants/variant_position/credible/roussos_2024/variant_figures/roussos_2024.childhood.Astrocyte/rs12045413_count_position.png",4,220,900)</f>
        <v/>
      </c>
      <c r="T77">
        <f>IMAGE("https://mitra.stanford.edu/kundaje/oak/projects/neuro-variants/variant_position/credible/roussos_2024/variant_figures/roussos_2024.childhood.Astrocyte/rs12045413_profile_position.png",4,220,900)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-0.00741001698</v>
      </c>
      <c r="G78" t="n">
        <v>0.7692528028075777</v>
      </c>
      <c r="H78" t="n">
        <v>0.0366526515383432</v>
      </c>
      <c r="I78" t="n">
        <v>0.0139591925117821</v>
      </c>
      <c r="J78" t="n">
        <v>0.0758138505339164</v>
      </c>
      <c r="K78" t="n">
        <v>0.3721680760993021</v>
      </c>
      <c r="L78" t="b">
        <v>1</v>
      </c>
      <c r="M78" t="b">
        <v>0</v>
      </c>
      <c r="N78" t="inlineStr">
        <is>
          <t>ref</t>
        </is>
      </c>
      <c r="O78" t="n">
        <v>65</v>
      </c>
      <c r="P78" t="n">
        <v>0.08466</v>
      </c>
      <c r="Q78" t="n">
        <v>-70</v>
      </c>
      <c r="R78" t="n">
        <v>0.2117</v>
      </c>
      <c r="S78">
        <f>IMAGE("https://mitra.stanford.edu/kundaje/oak/projects/neuro-variants/variant_position/credible/roussos_2024/variant_figures/roussos_2024.childhood.Astrocyte/rs12041746_count_position.png",4,220,900)</f>
        <v/>
      </c>
      <c r="T78">
        <f>IMAGE("https://mitra.stanford.edu/kundaje/oak/projects/neuro-variants/variant_position/credible/roussos_2024/variant_figures/roussos_2024.childhood.Astrocyte/rs12041746_profile_position.png",4,220,900)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-0.00387213192</v>
      </c>
      <c r="G79" t="n">
        <v>0.3472723436555242</v>
      </c>
      <c r="H79" t="n">
        <v>0.0136883459192905</v>
      </c>
      <c r="I79" t="n">
        <v>0.3831180531709205</v>
      </c>
      <c r="J79" t="n">
        <v>0.8173471334905695</v>
      </c>
      <c r="K79" t="n">
        <v>0.006924608389207</v>
      </c>
      <c r="L79" t="b">
        <v>0</v>
      </c>
      <c r="M79" t="b">
        <v>0</v>
      </c>
      <c r="N79" t="inlineStr">
        <is>
          <t>ref</t>
        </is>
      </c>
      <c r="O79" t="n">
        <v>-50</v>
      </c>
      <c r="P79" t="n">
        <v>0.00842</v>
      </c>
      <c r="Q79" t="n">
        <v>15</v>
      </c>
      <c r="R79" t="n">
        <v>0.0526</v>
      </c>
      <c r="S79">
        <f>IMAGE("https://mitra.stanford.edu/kundaje/oak/projects/neuro-variants/variant_position/credible/roussos_2024/variant_figures/roussos_2024.childhood.Astrocyte/rs34550543_count_position.png",4,220,900)</f>
        <v/>
      </c>
      <c r="T79">
        <f>IMAGE("https://mitra.stanford.edu/kundaje/oak/projects/neuro-variants/variant_position/credible/roussos_2024/variant_figures/roussos_2024.childhood.Astrocyte/rs34550543_profile_position.png",4,220,900)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0.039199403</v>
      </c>
      <c r="G80" t="n">
        <v>0.3001838371088087</v>
      </c>
      <c r="H80" t="n">
        <v>0.0205303345991223</v>
      </c>
      <c r="I80" t="n">
        <v>0.120006223267888</v>
      </c>
      <c r="J80" t="n">
        <v>0.2655080030226008</v>
      </c>
      <c r="K80" t="n">
        <v>0.1515457252076937</v>
      </c>
      <c r="L80" t="b">
        <v>0</v>
      </c>
      <c r="M80" t="b">
        <v>0</v>
      </c>
      <c r="N80" t="inlineStr">
        <is>
          <t>alt</t>
        </is>
      </c>
      <c r="O80" t="n">
        <v>-40</v>
      </c>
      <c r="P80" t="n">
        <v>0.004845</v>
      </c>
      <c r="Q80" t="n">
        <v>-45</v>
      </c>
      <c r="R80" t="n">
        <v>0.11523</v>
      </c>
      <c r="S80">
        <f>IMAGE("https://mitra.stanford.edu/kundaje/oak/projects/neuro-variants/variant_position/credible/roussos_2024/variant_figures/roussos_2024.childhood.Astrocyte/rs56352978_count_position.png",4,220,900)</f>
        <v/>
      </c>
      <c r="T80">
        <f>IMAGE("https://mitra.stanford.edu/kundaje/oak/projects/neuro-variants/variant_position/credible/roussos_2024/variant_figures/roussos_2024.childhood.Astrocyte/rs56352978_profile_position.png",4,220,900)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0.0007219234</v>
      </c>
      <c r="G81" t="n">
        <v>0.8753196149726952</v>
      </c>
      <c r="H81" t="n">
        <v>0.0204915635084297</v>
      </c>
      <c r="I81" t="n">
        <v>0.1160148824233292</v>
      </c>
      <c r="J81" t="n">
        <v>0.0080434766015585</v>
      </c>
      <c r="K81" t="n">
        <v>0.7243270698266933</v>
      </c>
      <c r="L81" t="b">
        <v>0</v>
      </c>
      <c r="M81" t="b">
        <v>0</v>
      </c>
      <c r="N81" t="inlineStr">
        <is>
          <t>alt</t>
        </is>
      </c>
      <c r="O81" t="n">
        <v>95</v>
      </c>
      <c r="P81" t="n">
        <v>0.0551</v>
      </c>
      <c r="Q81" t="n">
        <v>95</v>
      </c>
      <c r="R81" t="n">
        <v>0.1026</v>
      </c>
      <c r="S81">
        <f>IMAGE("https://mitra.stanford.edu/kundaje/oak/projects/neuro-variants/variant_position/credible/roussos_2024/variant_figures/roussos_2024.childhood.Astrocyte/rs11590088_count_position.png",4,220,900)</f>
        <v/>
      </c>
      <c r="T81">
        <f>IMAGE("https://mitra.stanford.edu/kundaje/oak/projects/neuro-variants/variant_position/credible/roussos_2024/variant_figures/roussos_2024.childhood.Astrocyte/rs11590088_profile_position.png",4,220,900)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-0.0461312351999999</v>
      </c>
      <c r="G82" t="n">
        <v>0.230734759684288</v>
      </c>
      <c r="H82" t="n">
        <v>0.0098766876577536</v>
      </c>
      <c r="I82" t="n">
        <v>0.7170853018330506</v>
      </c>
      <c r="J82" t="n">
        <v>0.0073122514559623</v>
      </c>
      <c r="K82" t="n">
        <v>0.7317223937265409</v>
      </c>
      <c r="L82" t="b">
        <v>0</v>
      </c>
      <c r="M82" t="b">
        <v>0</v>
      </c>
      <c r="N82" t="inlineStr">
        <is>
          <t>ref</t>
        </is>
      </c>
      <c r="O82" t="n">
        <v>40</v>
      </c>
      <c r="P82" t="n">
        <v>0.006134</v>
      </c>
      <c r="Q82" t="n">
        <v>40</v>
      </c>
      <c r="R82" t="n">
        <v>0.10205</v>
      </c>
      <c r="S82">
        <f>IMAGE("https://mitra.stanford.edu/kundaje/oak/projects/neuro-variants/variant_position/credible/roussos_2024/variant_figures/roussos_2024.childhood.Astrocyte/rs3957_count_position.png",4,220,900)</f>
        <v/>
      </c>
      <c r="T82">
        <f>IMAGE("https://mitra.stanford.edu/kundaje/oak/projects/neuro-variants/variant_position/credible/roussos_2024/variant_figures/roussos_2024.childhood.Astrocyte/rs3957_profile_position.png",4,220,900)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-0.009275283196</v>
      </c>
      <c r="G83" t="n">
        <v>0.7495211049513577</v>
      </c>
      <c r="H83" t="n">
        <v>0.0213634805139068</v>
      </c>
      <c r="I83" t="n">
        <v>0.1027022970347178</v>
      </c>
      <c r="J83" t="n">
        <v>0.0067214703884346</v>
      </c>
      <c r="K83" t="n">
        <v>0.7397886558700818</v>
      </c>
      <c r="L83" t="b">
        <v>0</v>
      </c>
      <c r="M83" t="b">
        <v>0</v>
      </c>
      <c r="N83" t="inlineStr">
        <is>
          <t>ref</t>
        </is>
      </c>
      <c r="O83" t="n">
        <v>70</v>
      </c>
      <c r="P83" t="n">
        <v>0.006416</v>
      </c>
      <c r="Q83" t="n">
        <v>90</v>
      </c>
      <c r="R83" t="n">
        <v>0.09950000000000001</v>
      </c>
      <c r="S83">
        <f>IMAGE("https://mitra.stanford.edu/kundaje/oak/projects/neuro-variants/variant_position/credible/roussos_2024/variant_figures/roussos_2024.childhood.Astrocyte/rs1167295_count_position.png",4,220,900)</f>
        <v/>
      </c>
      <c r="T83">
        <f>IMAGE("https://mitra.stanford.edu/kundaje/oak/projects/neuro-variants/variant_position/credible/roussos_2024/variant_figures/roussos_2024.childhood.Astrocyte/rs1167295_profile_position.png",4,220,900)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0.00066377158</v>
      </c>
      <c r="G84" t="n">
        <v>0.7611162733655779</v>
      </c>
      <c r="H84" t="n">
        <v>0.0293306962459744</v>
      </c>
      <c r="I84" t="n">
        <v>0.0326591179632803</v>
      </c>
      <c r="J84" t="n">
        <v>0.01378870799081</v>
      </c>
      <c r="K84" t="n">
        <v>0.6677324858412995</v>
      </c>
      <c r="L84" t="b">
        <v>0</v>
      </c>
      <c r="M84" t="b">
        <v>0</v>
      </c>
      <c r="N84" t="inlineStr">
        <is>
          <t>alt</t>
        </is>
      </c>
      <c r="O84" t="n">
        <v>75</v>
      </c>
      <c r="P84" t="n">
        <v>0.007637</v>
      </c>
      <c r="Q84" t="n">
        <v>100</v>
      </c>
      <c r="R84" t="n">
        <v>0.05615</v>
      </c>
      <c r="S84">
        <f>IMAGE("https://mitra.stanford.edu/kundaje/oak/projects/neuro-variants/variant_position/credible/roussos_2024/variant_figures/roussos_2024.childhood.Astrocyte/rs1167294_count_position.png",4,220,900)</f>
        <v/>
      </c>
      <c r="T84">
        <f>IMAGE("https://mitra.stanford.edu/kundaje/oak/projects/neuro-variants/variant_position/credible/roussos_2024/variant_figures/roussos_2024.childhood.Astrocyte/rs1167294_profile_position.png",4,220,900)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0.00664893232</v>
      </c>
      <c r="G85" t="n">
        <v>0.540606382201967</v>
      </c>
      <c r="H85" t="n">
        <v>0.0094080061874105</v>
      </c>
      <c r="I85" t="n">
        <v>0.7839087060381036</v>
      </c>
      <c r="J85" t="n">
        <v>0.0413684138215291</v>
      </c>
      <c r="K85" t="n">
        <v>0.4824848880321541</v>
      </c>
      <c r="L85" t="b">
        <v>0</v>
      </c>
      <c r="M85" t="b">
        <v>0</v>
      </c>
      <c r="N85" t="inlineStr">
        <is>
          <t>alt</t>
        </is>
      </c>
      <c r="O85" t="n">
        <v>95</v>
      </c>
      <c r="P85" t="n">
        <v>0.01159</v>
      </c>
      <c r="Q85" t="n">
        <v>-95</v>
      </c>
      <c r="R85" t="n">
        <v>0.03973</v>
      </c>
      <c r="S85">
        <f>IMAGE("https://mitra.stanford.edu/kundaje/oak/projects/neuro-variants/variant_position/credible/roussos_2024/variant_figures/roussos_2024.childhood.Astrocyte/rs1405913_count_position.png",4,220,900)</f>
        <v/>
      </c>
      <c r="T85">
        <f>IMAGE("https://mitra.stanford.edu/kundaje/oak/projects/neuro-variants/variant_position/credible/roussos_2024/variant_figures/roussos_2024.childhood.Astrocyte/rs1405913_profile_position.png",4,220,900)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-0.0132267389999999</v>
      </c>
      <c r="G86" t="n">
        <v>0.3583959317387125</v>
      </c>
      <c r="H86" t="n">
        <v>0.0100413428608801</v>
      </c>
      <c r="I86" t="n">
        <v>0.7066476290403607</v>
      </c>
      <c r="J86" t="n">
        <v>0.0001167823040461</v>
      </c>
      <c r="K86" t="n">
        <v>0.9842827335698422</v>
      </c>
      <c r="L86" t="b">
        <v>0</v>
      </c>
      <c r="M86" t="b">
        <v>0</v>
      </c>
      <c r="N86" t="inlineStr">
        <is>
          <t>ref</t>
        </is>
      </c>
      <c r="O86" t="n">
        <v>-100</v>
      </c>
      <c r="P86" t="n">
        <v>0.2333</v>
      </c>
      <c r="Q86" t="n">
        <v>-100</v>
      </c>
      <c r="R86" t="n">
        <v>0.2261</v>
      </c>
      <c r="S86">
        <f>IMAGE("https://mitra.stanford.edu/kundaje/oak/projects/neuro-variants/variant_position/credible/roussos_2024/variant_figures/roussos_2024.childhood.Astrocyte/rs1305494_count_position.png",4,220,900)</f>
        <v/>
      </c>
      <c r="T86">
        <f>IMAGE("https://mitra.stanford.edu/kundaje/oak/projects/neuro-variants/variant_position/credible/roussos_2024/variant_figures/roussos_2024.childhood.Astrocyte/rs1305494_profile_position.png",4,220,900)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-0.0750055536</v>
      </c>
      <c r="G87" t="n">
        <v>0.1205422425306591</v>
      </c>
      <c r="H87" t="n">
        <v>0.0170780603893859</v>
      </c>
      <c r="I87" t="n">
        <v>0.2166505045676258</v>
      </c>
      <c r="J87" t="n">
        <v>0.0044896307999968</v>
      </c>
      <c r="K87" t="n">
        <v>0.7892215467169346</v>
      </c>
      <c r="L87" t="b">
        <v>0</v>
      </c>
      <c r="M87" t="b">
        <v>0</v>
      </c>
      <c r="N87" t="inlineStr">
        <is>
          <t>ref</t>
        </is>
      </c>
      <c r="O87" t="n">
        <v>-60</v>
      </c>
      <c r="P87" t="n">
        <v>0.009599999999999999</v>
      </c>
      <c r="Q87" t="n">
        <v>25</v>
      </c>
      <c r="R87" t="n">
        <v>0.03638</v>
      </c>
      <c r="S87">
        <f>IMAGE("https://mitra.stanford.edu/kundaje/oak/projects/neuro-variants/variant_position/credible/roussos_2024/variant_figures/roussos_2024.childhood.Astrocyte/rs11205633_count_position.png",4,220,900)</f>
        <v/>
      </c>
      <c r="T87">
        <f>IMAGE("https://mitra.stanford.edu/kundaje/oak/projects/neuro-variants/variant_position/credible/roussos_2024/variant_figures/roussos_2024.childhood.Astrocyte/rs11205633_profile_position.png",4,220,900)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-0.0895203408</v>
      </c>
      <c r="G88" t="n">
        <v>0.09735863611065571</v>
      </c>
      <c r="H88" t="n">
        <v>0.0130145822025524</v>
      </c>
      <c r="I88" t="n">
        <v>0.4127163485065226</v>
      </c>
      <c r="J88" t="n">
        <v>0.0063642539289993</v>
      </c>
      <c r="K88" t="n">
        <v>0.7544053137969901</v>
      </c>
      <c r="L88" t="b">
        <v>0</v>
      </c>
      <c r="M88" t="b">
        <v>0</v>
      </c>
      <c r="N88" t="inlineStr">
        <is>
          <t>ref</t>
        </is>
      </c>
      <c r="O88" t="n">
        <v>-90</v>
      </c>
      <c r="P88" t="n">
        <v>0.00663</v>
      </c>
      <c r="Q88" t="n">
        <v>70</v>
      </c>
      <c r="R88" t="n">
        <v>0.1173</v>
      </c>
      <c r="S88">
        <f>IMAGE("https://mitra.stanford.edu/kundaje/oak/projects/neuro-variants/variant_position/credible/roussos_2024/variant_figures/roussos_2024.childhood.Astrocyte/rs6684606_count_position.png",4,220,900)</f>
        <v/>
      </c>
      <c r="T88">
        <f>IMAGE("https://mitra.stanford.edu/kundaje/oak/projects/neuro-variants/variant_position/credible/roussos_2024/variant_figures/roussos_2024.childhood.Astrocyte/rs6684606_profile_position.png",4,220,900)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0.00369279548</v>
      </c>
      <c r="G89" t="n">
        <v>0.8152919751463754</v>
      </c>
      <c r="H89" t="n">
        <v>0.0140261351487063</v>
      </c>
      <c r="I89" t="n">
        <v>0.354283819786087</v>
      </c>
      <c r="J89" t="n">
        <v>0.0143054506041384</v>
      </c>
      <c r="K89" t="n">
        <v>0.6398807941429531</v>
      </c>
      <c r="L89" t="b">
        <v>0</v>
      </c>
      <c r="M89" t="b">
        <v>0</v>
      </c>
      <c r="N89" t="inlineStr">
        <is>
          <t>alt</t>
        </is>
      </c>
      <c r="O89" t="n">
        <v>-75</v>
      </c>
      <c r="P89" t="n">
        <v>0.00467</v>
      </c>
      <c r="Q89" t="n">
        <v>65</v>
      </c>
      <c r="R89" t="n">
        <v>0.1427</v>
      </c>
      <c r="S89">
        <f>IMAGE("https://mitra.stanford.edu/kundaje/oak/projects/neuro-variants/variant_position/credible/roussos_2024/variant_figures/roussos_2024.childhood.Astrocyte/rs6588355_count_position.png",4,220,900)</f>
        <v/>
      </c>
      <c r="T89">
        <f>IMAGE("https://mitra.stanford.edu/kundaje/oak/projects/neuro-variants/variant_position/credible/roussos_2024/variant_figures/roussos_2024.childhood.Astrocyte/rs6588355_profile_position.png",4,220,900)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0.0080268088</v>
      </c>
      <c r="G90" t="n">
        <v>0.5927416003758745</v>
      </c>
      <c r="H90" t="n">
        <v>0.012697888769794</v>
      </c>
      <c r="I90" t="n">
        <v>0.4489536685545033</v>
      </c>
      <c r="J90" t="n">
        <v>0.28315968644333</v>
      </c>
      <c r="K90" t="n">
        <v>0.1426605417878605</v>
      </c>
      <c r="L90" t="b">
        <v>0</v>
      </c>
      <c r="M90" t="b">
        <v>0</v>
      </c>
      <c r="N90" t="inlineStr">
        <is>
          <t>alt</t>
        </is>
      </c>
      <c r="O90" t="n">
        <v>100</v>
      </c>
      <c r="P90" t="n">
        <v>0.01566</v>
      </c>
      <c r="Q90" t="n">
        <v>-100</v>
      </c>
      <c r="R90" t="n">
        <v>0.0776</v>
      </c>
      <c r="S90">
        <f>IMAGE("https://mitra.stanford.edu/kundaje/oak/projects/neuro-variants/variant_position/credible/roussos_2024/variant_figures/roussos_2024.childhood.Astrocyte/rs6660689_count_position.png",4,220,900)</f>
        <v/>
      </c>
      <c r="T90">
        <f>IMAGE("https://mitra.stanford.edu/kundaje/oak/projects/neuro-variants/variant_position/credible/roussos_2024/variant_figures/roussos_2024.childhood.Astrocyte/rs6660689_profile_position.png",4,220,900)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-0.1182902868</v>
      </c>
      <c r="G91" t="n">
        <v>0.0532508238506614</v>
      </c>
      <c r="H91" t="n">
        <v>0.0192215304602128</v>
      </c>
      <c r="I91" t="n">
        <v>0.1428732674043207</v>
      </c>
      <c r="J91" t="n">
        <v>0.0002610427972796</v>
      </c>
      <c r="K91" t="n">
        <v>0.9742055064990318</v>
      </c>
      <c r="L91" t="b">
        <v>0</v>
      </c>
      <c r="M91" t="b">
        <v>0</v>
      </c>
      <c r="N91" t="inlineStr">
        <is>
          <t>ref</t>
        </is>
      </c>
      <c r="O91" t="n">
        <v>-85</v>
      </c>
      <c r="P91" t="n">
        <v>0.01551</v>
      </c>
      <c r="Q91" t="n">
        <v>-100</v>
      </c>
      <c r="R91" t="n">
        <v>0.27</v>
      </c>
      <c r="S91">
        <f>IMAGE("https://mitra.stanford.edu/kundaje/oak/projects/neuro-variants/variant_position/credible/roussos_2024/variant_figures/roussos_2024.childhood.Astrocyte/rs12137221_count_position.png",4,220,900)</f>
        <v/>
      </c>
      <c r="T91">
        <f>IMAGE("https://mitra.stanford.edu/kundaje/oak/projects/neuro-variants/variant_position/credible/roussos_2024/variant_figures/roussos_2024.childhood.Astrocyte/rs12137221_profile_position.png",4,220,900)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0.01034718274</v>
      </c>
      <c r="G92" t="n">
        <v>0.7178669387415746</v>
      </c>
      <c r="H92" t="n">
        <v>0.007889195497757399</v>
      </c>
      <c r="I92" t="n">
        <v>0.9157016696681634</v>
      </c>
      <c r="J92" t="n">
        <v>0.0029386396769785</v>
      </c>
      <c r="K92" t="n">
        <v>0.8574379690153834</v>
      </c>
      <c r="L92" t="b">
        <v>0</v>
      </c>
      <c r="M92" t="b">
        <v>0</v>
      </c>
      <c r="N92" t="inlineStr">
        <is>
          <t>alt</t>
        </is>
      </c>
      <c r="O92" t="n">
        <v>-45</v>
      </c>
      <c r="P92" t="n">
        <v>0.002493</v>
      </c>
      <c r="Q92" t="n">
        <v>100</v>
      </c>
      <c r="R92" t="n">
        <v>0.1178</v>
      </c>
      <c r="S92">
        <f>IMAGE("https://mitra.stanford.edu/kundaje/oak/projects/neuro-variants/variant_position/credible/roussos_2024/variant_figures/roussos_2024.childhood.Astrocyte/rs4926540_count_position.png",4,220,900)</f>
        <v/>
      </c>
      <c r="T92">
        <f>IMAGE("https://mitra.stanford.edu/kundaje/oak/projects/neuro-variants/variant_position/credible/roussos_2024/variant_figures/roussos_2024.childhood.Astrocyte/rs4926540_profile_position.png",4,220,900)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-0.0470846478</v>
      </c>
      <c r="G93" t="n">
        <v>0.2361244807652844</v>
      </c>
      <c r="H93" t="n">
        <v>0.0123980586816075</v>
      </c>
      <c r="I93" t="n">
        <v>0.4773909502377839</v>
      </c>
      <c r="J93" t="n">
        <v>0.0010365383587887</v>
      </c>
      <c r="K93" t="n">
        <v>0.9073454351080008</v>
      </c>
      <c r="L93" t="b">
        <v>0</v>
      </c>
      <c r="M93" t="b">
        <v>0</v>
      </c>
      <c r="N93" t="inlineStr">
        <is>
          <t>ref</t>
        </is>
      </c>
      <c r="O93" t="n">
        <v>-100</v>
      </c>
      <c r="P93" t="n">
        <v>0.022</v>
      </c>
      <c r="Q93" t="n">
        <v>-10</v>
      </c>
      <c r="R93" t="n">
        <v>0.00906</v>
      </c>
      <c r="S93">
        <f>IMAGE("https://mitra.stanford.edu/kundaje/oak/projects/neuro-variants/variant_position/credible/roussos_2024/variant_figures/roussos_2024.childhood.Astrocyte/rs68007327_count_position.png",4,220,900)</f>
        <v/>
      </c>
      <c r="T93">
        <f>IMAGE("https://mitra.stanford.edu/kundaje/oak/projects/neuro-variants/variant_position/credible/roussos_2024/variant_figures/roussos_2024.childhood.Astrocyte/rs68007327_profile_position.png",4,220,900)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-0.0610236524</v>
      </c>
      <c r="G94" t="n">
        <v>0.16530656123308</v>
      </c>
      <c r="H94" t="n">
        <v>0.0148381600177248</v>
      </c>
      <c r="I94" t="n">
        <v>0.3170211228500924</v>
      </c>
      <c r="J94" t="n">
        <v>0.0648179951607855</v>
      </c>
      <c r="K94" t="n">
        <v>0.4008649766711548</v>
      </c>
      <c r="L94" t="b">
        <v>0</v>
      </c>
      <c r="M94" t="b">
        <v>0</v>
      </c>
      <c r="N94" t="inlineStr">
        <is>
          <t>ref</t>
        </is>
      </c>
      <c r="O94" t="n">
        <v>-100</v>
      </c>
      <c r="P94" t="n">
        <v>0.00907</v>
      </c>
      <c r="Q94" t="n">
        <v>-85</v>
      </c>
      <c r="R94" t="n">
        <v>0.1292</v>
      </c>
      <c r="S94">
        <f>IMAGE("https://mitra.stanford.edu/kundaje/oak/projects/neuro-variants/variant_position/credible/roussos_2024/variant_figures/roussos_2024.childhood.Astrocyte/rs987335_count_position.png",4,220,900)</f>
        <v/>
      </c>
      <c r="T94">
        <f>IMAGE("https://mitra.stanford.edu/kundaje/oak/projects/neuro-variants/variant_position/credible/roussos_2024/variant_figures/roussos_2024.childhood.Astrocyte/rs987335_profile_position.png",4,220,900)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0.0002140846199999</v>
      </c>
      <c r="G95" t="n">
        <v>0.8994618666654542</v>
      </c>
      <c r="H95" t="n">
        <v>0.0292492351594524</v>
      </c>
      <c r="I95" t="n">
        <v>0.03282077005597</v>
      </c>
      <c r="J95" t="n">
        <v>0.0017128071260103</v>
      </c>
      <c r="K95" t="n">
        <v>0.8737937163424796</v>
      </c>
      <c r="L95" t="b">
        <v>0</v>
      </c>
      <c r="M95" t="b">
        <v>0</v>
      </c>
      <c r="N95" t="inlineStr">
        <is>
          <t>alt</t>
        </is>
      </c>
      <c r="O95" t="n">
        <v>70</v>
      </c>
      <c r="P95" t="n">
        <v>0.003143</v>
      </c>
      <c r="Q95" t="n">
        <v>-80</v>
      </c>
      <c r="R95" t="n">
        <v>0.03815</v>
      </c>
      <c r="S95">
        <f>IMAGE("https://mitra.stanford.edu/kundaje/oak/projects/neuro-variants/variant_position/credible/roussos_2024/variant_figures/roussos_2024.childhood.Astrocyte/rs11207639_count_position.png",4,220,900)</f>
        <v/>
      </c>
      <c r="T95">
        <f>IMAGE("https://mitra.stanford.edu/kundaje/oak/projects/neuro-variants/variant_position/credible/roussos_2024/variant_figures/roussos_2024.childhood.Astrocyte/rs11207639_profile_position.png",4,220,900)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0.704820134</v>
      </c>
      <c r="G96" t="n">
        <v>0.0002806395676286</v>
      </c>
      <c r="H96" t="n">
        <v>0.0725436746242616</v>
      </c>
      <c r="I96" t="n">
        <v>0.0010804122166806</v>
      </c>
      <c r="J96" t="n">
        <v>0.0860891667239128</v>
      </c>
      <c r="K96" t="n">
        <v>0.363222894076019</v>
      </c>
      <c r="L96" t="b">
        <v>1</v>
      </c>
      <c r="M96" t="b">
        <v>1</v>
      </c>
      <c r="N96" t="inlineStr">
        <is>
          <t>alt</t>
        </is>
      </c>
      <c r="O96" t="n">
        <v>-5</v>
      </c>
      <c r="P96" t="n">
        <v>6.104e-05</v>
      </c>
      <c r="Q96" t="n">
        <v>0</v>
      </c>
      <c r="R96" t="n">
        <v>0</v>
      </c>
      <c r="S96">
        <f>IMAGE("https://mitra.stanford.edu/kundaje/oak/projects/neuro-variants/variant_position/credible/roussos_2024/variant_figures/roussos_2024.childhood.Astrocyte/rs484743_count_position.png",4,220,900)</f>
        <v/>
      </c>
      <c r="T96">
        <f>IMAGE("https://mitra.stanford.edu/kundaje/oak/projects/neuro-variants/variant_position/credible/roussos_2024/variant_figures/roussos_2024.childhood.Astrocyte/rs484743_profile_position.png",4,220,900)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0.016912017526</v>
      </c>
      <c r="G97" t="n">
        <v>0.5248762541329987</v>
      </c>
      <c r="H97" t="n">
        <v>0.0198453523413195</v>
      </c>
      <c r="I97" t="n">
        <v>0.1314965934212567</v>
      </c>
      <c r="J97" t="n">
        <v>0.2898429926801157</v>
      </c>
      <c r="K97" t="n">
        <v>0.1400192975936572</v>
      </c>
      <c r="L97" t="b">
        <v>0</v>
      </c>
      <c r="M97" t="b">
        <v>0</v>
      </c>
      <c r="N97" t="inlineStr">
        <is>
          <t>alt</t>
        </is>
      </c>
      <c r="O97" t="n">
        <v>-50</v>
      </c>
      <c r="P97" t="n">
        <v>0.01701</v>
      </c>
      <c r="Q97" t="n">
        <v>65</v>
      </c>
      <c r="R97" t="n">
        <v>0.04</v>
      </c>
      <c r="S97">
        <f>IMAGE("https://mitra.stanford.edu/kundaje/oak/projects/neuro-variants/variant_position/credible/roussos_2024/variant_figures/roussos_2024.childhood.Astrocyte/rs10218679_count_position.png",4,220,900)</f>
        <v/>
      </c>
      <c r="T97">
        <f>IMAGE("https://mitra.stanford.edu/kundaje/oak/projects/neuro-variants/variant_position/credible/roussos_2024/variant_figures/roussos_2024.childhood.Astrocyte/rs10218679_profile_position.png",4,220,900)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-0.015937780252</v>
      </c>
      <c r="G98" t="n">
        <v>0.6126281080229332</v>
      </c>
      <c r="H98" t="n">
        <v>0.0205234381712353</v>
      </c>
      <c r="I98" t="n">
        <v>0.1144224719256853</v>
      </c>
      <c r="J98" t="n">
        <v>0.0275430682451359</v>
      </c>
      <c r="K98" t="n">
        <v>0.5400049071475311</v>
      </c>
      <c r="L98" t="b">
        <v>0</v>
      </c>
      <c r="M98" t="b">
        <v>0</v>
      </c>
      <c r="N98" t="inlineStr">
        <is>
          <t>ref</t>
        </is>
      </c>
      <c r="O98" t="n">
        <v>95</v>
      </c>
      <c r="P98" t="n">
        <v>0.005447</v>
      </c>
      <c r="Q98" t="n">
        <v>95</v>
      </c>
      <c r="R98" t="n">
        <v>0.233</v>
      </c>
      <c r="S98">
        <f>IMAGE("https://mitra.stanford.edu/kundaje/oak/projects/neuro-variants/variant_position/credible/roussos_2024/variant_figures/roussos_2024.childhood.Astrocyte/rs2987774_count_position.png",4,220,900)</f>
        <v/>
      </c>
      <c r="T98">
        <f>IMAGE("https://mitra.stanford.edu/kundaje/oak/projects/neuro-variants/variant_position/credible/roussos_2024/variant_figures/roussos_2024.childhood.Astrocyte/rs2987774_profile_position.png",4,220,900)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-0.00758011338</v>
      </c>
      <c r="G99" t="n">
        <v>0.7927039142589093</v>
      </c>
      <c r="H99" t="n">
        <v>0.0663355624421893</v>
      </c>
      <c r="I99" t="n">
        <v>0.0014152135332787</v>
      </c>
      <c r="J99" t="n">
        <v>0.0019395021868058</v>
      </c>
      <c r="K99" t="n">
        <v>0.8860964356571553</v>
      </c>
      <c r="L99" t="b">
        <v>0</v>
      </c>
      <c r="M99" t="b">
        <v>0</v>
      </c>
      <c r="N99" t="inlineStr">
        <is>
          <t>ref</t>
        </is>
      </c>
      <c r="O99" t="n">
        <v>-95</v>
      </c>
      <c r="P99" t="n">
        <v>0.01672</v>
      </c>
      <c r="Q99" t="n">
        <v>55</v>
      </c>
      <c r="R99" t="n">
        <v>0.0454</v>
      </c>
      <c r="S99">
        <f>IMAGE("https://mitra.stanford.edu/kundaje/oak/projects/neuro-variants/variant_position/credible/roussos_2024/variant_figures/roussos_2024.childhood.Astrocyte/rs494011_count_position.png",4,220,900)</f>
        <v/>
      </c>
      <c r="T99">
        <f>IMAGE("https://mitra.stanford.edu/kundaje/oak/projects/neuro-variants/variant_position/credible/roussos_2024/variant_figures/roussos_2024.childhood.Astrocyte/rs494011_profile_position.png",4,220,900)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0.0598535292</v>
      </c>
      <c r="G100" t="n">
        <v>0.1614355107684217</v>
      </c>
      <c r="H100" t="n">
        <v>0.011400631914766</v>
      </c>
      <c r="I100" t="n">
        <v>0.5772060696615974</v>
      </c>
      <c r="J100" t="n">
        <v>0.0224031203010387</v>
      </c>
      <c r="K100" t="n">
        <v>0.636575396529752</v>
      </c>
      <c r="L100" t="b">
        <v>0</v>
      </c>
      <c r="M100" t="b">
        <v>0</v>
      </c>
      <c r="N100" t="inlineStr">
        <is>
          <t>alt</t>
        </is>
      </c>
      <c r="O100" t="n">
        <v>-95</v>
      </c>
      <c r="P100" t="n">
        <v>0.01099</v>
      </c>
      <c r="Q100" t="n">
        <v>100</v>
      </c>
      <c r="R100" t="n">
        <v>0.1492</v>
      </c>
      <c r="S100">
        <f>IMAGE("https://mitra.stanford.edu/kundaje/oak/projects/neuro-variants/variant_position/credible/roussos_2024/variant_figures/roussos_2024.childhood.Astrocyte/rs554774_count_position.png",4,220,900)</f>
        <v/>
      </c>
      <c r="T100">
        <f>IMAGE("https://mitra.stanford.edu/kundaje/oak/projects/neuro-variants/variant_position/credible/roussos_2024/variant_figures/roussos_2024.childhood.Astrocyte/rs554774_profile_position.png",4,220,900)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-0.10080968</v>
      </c>
      <c r="G101" t="n">
        <v>0.0740330191148719</v>
      </c>
      <c r="H101" t="n">
        <v>0.016265985717484</v>
      </c>
      <c r="I101" t="n">
        <v>0.2355344361643885</v>
      </c>
      <c r="J101" t="n">
        <v>0.0471998961935074</v>
      </c>
      <c r="K101" t="n">
        <v>0.4719347371544981</v>
      </c>
      <c r="L101" t="b">
        <v>0</v>
      </c>
      <c r="M101" t="b">
        <v>0</v>
      </c>
      <c r="N101" t="inlineStr">
        <is>
          <t>ref</t>
        </is>
      </c>
      <c r="O101" t="n">
        <v>-30</v>
      </c>
      <c r="P101" t="n">
        <v>0.003906</v>
      </c>
      <c r="Q101" t="n">
        <v>-30</v>
      </c>
      <c r="R101" t="n">
        <v>0.02148</v>
      </c>
      <c r="S101">
        <f>IMAGE("https://mitra.stanford.edu/kundaje/oak/projects/neuro-variants/variant_position/credible/roussos_2024/variant_figures/roussos_2024.childhood.Astrocyte/rs489543_count_position.png",4,220,900)</f>
        <v/>
      </c>
      <c r="T101">
        <f>IMAGE("https://mitra.stanford.edu/kundaje/oak/projects/neuro-variants/variant_position/credible/roussos_2024/variant_figures/roussos_2024.childhood.Astrocyte/rs489543_profile_position.png",4,220,900)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-0.0160014166</v>
      </c>
      <c r="G102" t="n">
        <v>0.5606098245958663</v>
      </c>
      <c r="H102" t="n">
        <v>0.0224918456028816</v>
      </c>
      <c r="I102" t="n">
        <v>0.0851908993593616</v>
      </c>
      <c r="J102" t="n">
        <v>0.0354277819758344</v>
      </c>
      <c r="K102" t="n">
        <v>0.5130225690820156</v>
      </c>
      <c r="L102" t="b">
        <v>0</v>
      </c>
      <c r="M102" t="b">
        <v>0</v>
      </c>
      <c r="N102" t="inlineStr">
        <is>
          <t>ref</t>
        </is>
      </c>
      <c r="O102" t="n">
        <v>100</v>
      </c>
      <c r="P102" t="n">
        <v>0.006668</v>
      </c>
      <c r="Q102" t="n">
        <v>-90</v>
      </c>
      <c r="R102" t="n">
        <v>0.1813</v>
      </c>
      <c r="S102">
        <f>IMAGE("https://mitra.stanford.edu/kundaje/oak/projects/neuro-variants/variant_position/credible/roussos_2024/variant_figures/roussos_2024.childhood.Astrocyte/rs471660_count_position.png",4,220,900)</f>
        <v/>
      </c>
      <c r="T102">
        <f>IMAGE("https://mitra.stanford.edu/kundaje/oak/projects/neuro-variants/variant_position/credible/roussos_2024/variant_figures/roussos_2024.childhood.Astrocyte/rs471660_profile_position.png",4,220,900)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-0.0118705458999999</v>
      </c>
      <c r="G103" t="n">
        <v>0.628523161172999</v>
      </c>
      <c r="H103" t="n">
        <v>0.0205041264374982</v>
      </c>
      <c r="I103" t="n">
        <v>0.1188442886976626</v>
      </c>
      <c r="J103" t="n">
        <v>0.0070275468846602</v>
      </c>
      <c r="K103" t="n">
        <v>0.7409178514932304</v>
      </c>
      <c r="L103" t="b">
        <v>0</v>
      </c>
      <c r="M103" t="b">
        <v>0</v>
      </c>
      <c r="N103" t="inlineStr">
        <is>
          <t>ref</t>
        </is>
      </c>
      <c r="O103" t="n">
        <v>-5</v>
      </c>
      <c r="P103" t="n">
        <v>0.0009155</v>
      </c>
      <c r="Q103" t="n">
        <v>50</v>
      </c>
      <c r="R103" t="n">
        <v>0.03818</v>
      </c>
      <c r="S103">
        <f>IMAGE("https://mitra.stanford.edu/kundaje/oak/projects/neuro-variants/variant_position/credible/roussos_2024/variant_figures/roussos_2024.childhood.Astrocyte/rs4077431_count_position.png",4,220,900)</f>
        <v/>
      </c>
      <c r="T103">
        <f>IMAGE("https://mitra.stanford.edu/kundaje/oak/projects/neuro-variants/variant_position/credible/roussos_2024/variant_figures/roussos_2024.childhood.Astrocyte/rs4077431_profile_position.png",4,220,900)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0.0322952322</v>
      </c>
      <c r="G104" t="n">
        <v>0.3485072120586715</v>
      </c>
      <c r="H104" t="n">
        <v>0.0139542430293878</v>
      </c>
      <c r="I104" t="n">
        <v>0.3585879388168532</v>
      </c>
      <c r="J104" t="n">
        <v>0.0020715501515116</v>
      </c>
      <c r="K104" t="n">
        <v>0.8537322703844996</v>
      </c>
      <c r="L104" t="b">
        <v>0</v>
      </c>
      <c r="M104" t="b">
        <v>0</v>
      </c>
      <c r="N104" t="inlineStr">
        <is>
          <t>alt</t>
        </is>
      </c>
      <c r="O104" t="n">
        <v>55</v>
      </c>
      <c r="P104" t="n">
        <v>0.006195</v>
      </c>
      <c r="Q104" t="n">
        <v>-90</v>
      </c>
      <c r="R104" t="n">
        <v>0.231</v>
      </c>
      <c r="S104">
        <f>IMAGE("https://mitra.stanford.edu/kundaje/oak/projects/neuro-variants/variant_position/credible/roussos_2024/variant_figures/roussos_2024.childhood.Astrocyte/rs4133072_count_position.png",4,220,900)</f>
        <v/>
      </c>
      <c r="T104">
        <f>IMAGE("https://mitra.stanford.edu/kundaje/oak/projects/neuro-variants/variant_position/credible/roussos_2024/variant_figures/roussos_2024.childhood.Astrocyte/rs4133072_profile_position.png",4,220,900)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-0.0376837647599999</v>
      </c>
      <c r="G105" t="n">
        <v>0.2945394504863177</v>
      </c>
      <c r="H105" t="n">
        <v>0.0129229821524446</v>
      </c>
      <c r="I105" t="n">
        <v>0.4297062863344393</v>
      </c>
      <c r="J105" t="n">
        <v>0.0537748162396097</v>
      </c>
      <c r="K105" t="n">
        <v>0.4414471888547161</v>
      </c>
      <c r="L105" t="b">
        <v>0</v>
      </c>
      <c r="M105" t="b">
        <v>0</v>
      </c>
      <c r="N105" t="inlineStr">
        <is>
          <t>ref</t>
        </is>
      </c>
      <c r="O105" t="n">
        <v>-80</v>
      </c>
      <c r="P105" t="n">
        <v>0.004547</v>
      </c>
      <c r="Q105" t="n">
        <v>50</v>
      </c>
      <c r="R105" t="n">
        <v>0.05225</v>
      </c>
      <c r="S105">
        <f>IMAGE("https://mitra.stanford.edu/kundaje/oak/projects/neuro-variants/variant_position/credible/roussos_2024/variant_figures/roussos_2024.childhood.Astrocyte/rs12129719_count_position.png",4,220,900)</f>
        <v/>
      </c>
      <c r="T105">
        <f>IMAGE("https://mitra.stanford.edu/kundaje/oak/projects/neuro-variants/variant_position/credible/roussos_2024/variant_figures/roussos_2024.childhood.Astrocyte/rs12129719_profile_position.png",4,220,900)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-0.02730965514</v>
      </c>
      <c r="G106" t="n">
        <v>0.1593213133873713</v>
      </c>
      <c r="H106" t="n">
        <v>0.0136595348419077</v>
      </c>
      <c r="I106" t="n">
        <v>0.3826343778507798</v>
      </c>
      <c r="J106" t="n">
        <v>0.2159068184073336</v>
      </c>
      <c r="K106" t="n">
        <v>0.1897861950959705</v>
      </c>
      <c r="L106" t="b">
        <v>0</v>
      </c>
      <c r="M106" t="b">
        <v>0</v>
      </c>
      <c r="N106" t="inlineStr">
        <is>
          <t>ref</t>
        </is>
      </c>
      <c r="O106" t="n">
        <v>100</v>
      </c>
      <c r="P106" t="n">
        <v>0.01785</v>
      </c>
      <c r="Q106" t="n">
        <v>-5</v>
      </c>
      <c r="R106" t="n">
        <v>0.01172</v>
      </c>
      <c r="S106">
        <f>IMAGE("https://mitra.stanford.edu/kundaje/oak/projects/neuro-variants/variant_position/credible/roussos_2024/variant_figures/roussos_2024.childhood.Astrocyte/rs954299_count_position.png",4,220,900)</f>
        <v/>
      </c>
      <c r="T106">
        <f>IMAGE("https://mitra.stanford.edu/kundaje/oak/projects/neuro-variants/variant_position/credible/roussos_2024/variant_figures/roussos_2024.childhood.Astrocyte/rs954299_profile_position.png",4,220,900)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0.020939943</v>
      </c>
      <c r="G107" t="n">
        <v>0.5114016107181784</v>
      </c>
      <c r="H107" t="n">
        <v>0.0387391919096918</v>
      </c>
      <c r="I107" t="n">
        <v>0.0111064469689288</v>
      </c>
      <c r="J107" t="n">
        <v>0.120458275133002</v>
      </c>
      <c r="K107" t="n">
        <v>0.2976867177861819</v>
      </c>
      <c r="L107" t="b">
        <v>1</v>
      </c>
      <c r="M107" t="b">
        <v>0</v>
      </c>
      <c r="N107" t="inlineStr">
        <is>
          <t>alt</t>
        </is>
      </c>
      <c r="O107" t="n">
        <v>-100</v>
      </c>
      <c r="P107" t="n">
        <v>0.01157</v>
      </c>
      <c r="Q107" t="n">
        <v>-90</v>
      </c>
      <c r="R107" t="n">
        <v>0.2258</v>
      </c>
      <c r="S107">
        <f>IMAGE("https://mitra.stanford.edu/kundaje/oak/projects/neuro-variants/variant_position/credible/roussos_2024/variant_figures/roussos_2024.childhood.Astrocyte/rs2422013_count_position.png",4,220,900)</f>
        <v/>
      </c>
      <c r="T107">
        <f>IMAGE("https://mitra.stanford.edu/kundaje/oak/projects/neuro-variants/variant_position/credible/roussos_2024/variant_figures/roussos_2024.childhood.Astrocyte/rs2422013_profile_position.png",4,220,900)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0.0293153876</v>
      </c>
      <c r="G108" t="n">
        <v>0.3861693902358476</v>
      </c>
      <c r="H108" t="n">
        <v>0.0301499526057726</v>
      </c>
      <c r="I108" t="n">
        <v>0.0291315907907979</v>
      </c>
      <c r="J108" t="n">
        <v>0.0745216123590788</v>
      </c>
      <c r="K108" t="n">
        <v>0.3757611814974413</v>
      </c>
      <c r="L108" t="b">
        <v>0</v>
      </c>
      <c r="M108" t="b">
        <v>0</v>
      </c>
      <c r="N108" t="inlineStr">
        <is>
          <t>alt</t>
        </is>
      </c>
      <c r="O108" t="n">
        <v>100</v>
      </c>
      <c r="P108" t="n">
        <v>0.01888</v>
      </c>
      <c r="Q108" t="n">
        <v>-45</v>
      </c>
      <c r="R108" t="n">
        <v>0.1045</v>
      </c>
      <c r="S108">
        <f>IMAGE("https://mitra.stanford.edu/kundaje/oak/projects/neuro-variants/variant_position/credible/roussos_2024/variant_figures/roussos_2024.childhood.Astrocyte/rs2901616_count_position.png",4,220,900)</f>
        <v/>
      </c>
      <c r="T108">
        <f>IMAGE("https://mitra.stanford.edu/kundaje/oak/projects/neuro-variants/variant_position/credible/roussos_2024/variant_figures/roussos_2024.childhood.Astrocyte/rs2901616_profile_position.png",4,220,900)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0.00329652694</v>
      </c>
      <c r="G109" t="n">
        <v>0.77647051531064</v>
      </c>
      <c r="H109" t="n">
        <v>0.0212437177508344</v>
      </c>
      <c r="I109" t="n">
        <v>0.1030760968557122</v>
      </c>
      <c r="J109" t="n">
        <v>0.002383732912001</v>
      </c>
      <c r="K109" t="n">
        <v>0.8430045145760219</v>
      </c>
      <c r="L109" t="b">
        <v>0</v>
      </c>
      <c r="M109" t="b">
        <v>0</v>
      </c>
      <c r="N109" t="inlineStr">
        <is>
          <t>alt</t>
        </is>
      </c>
      <c r="O109" t="n">
        <v>-95</v>
      </c>
      <c r="P109" t="n">
        <v>0.007233</v>
      </c>
      <c r="Q109" t="n">
        <v>95</v>
      </c>
      <c r="R109" t="n">
        <v>0.05322</v>
      </c>
      <c r="S109">
        <f>IMAGE("https://mitra.stanford.edu/kundaje/oak/projects/neuro-variants/variant_position/credible/roussos_2024/variant_figures/roussos_2024.childhood.Astrocyte/rs2422016_count_position.png",4,220,900)</f>
        <v/>
      </c>
      <c r="T109">
        <f>IMAGE("https://mitra.stanford.edu/kundaje/oak/projects/neuro-variants/variant_position/credible/roussos_2024/variant_figures/roussos_2024.childhood.Astrocyte/rs2422016_profile_position.png",4,220,900)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-0.1063115811999999</v>
      </c>
      <c r="G110" t="n">
        <v>0.0632905272387102</v>
      </c>
      <c r="H110" t="n">
        <v>0.0239810975111896</v>
      </c>
      <c r="I110" t="n">
        <v>0.0724087344303542</v>
      </c>
      <c r="J110" t="n">
        <v>0.008930411485883</v>
      </c>
      <c r="K110" t="n">
        <v>0.7026848247899032</v>
      </c>
      <c r="L110" t="b">
        <v>0</v>
      </c>
      <c r="M110" t="b">
        <v>0</v>
      </c>
      <c r="N110" t="inlineStr">
        <is>
          <t>ref</t>
        </is>
      </c>
      <c r="O110" t="n">
        <v>95</v>
      </c>
      <c r="P110" t="n">
        <v>0.003855</v>
      </c>
      <c r="Q110" t="n">
        <v>-60</v>
      </c>
      <c r="R110" t="n">
        <v>0.2769</v>
      </c>
      <c r="S110">
        <f>IMAGE("https://mitra.stanford.edu/kundaje/oak/projects/neuro-variants/variant_position/credible/roussos_2024/variant_figures/roussos_2024.childhood.Astrocyte/rs12120761_count_position.png",4,220,900)</f>
        <v/>
      </c>
      <c r="T110">
        <f>IMAGE("https://mitra.stanford.edu/kundaje/oak/projects/neuro-variants/variant_position/credible/roussos_2024/variant_figures/roussos_2024.childhood.Astrocyte/rs12120761_profile_position.png",4,220,900)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-0.0288926935399999</v>
      </c>
      <c r="G111" t="n">
        <v>0.3443674594976811</v>
      </c>
      <c r="H111" t="n">
        <v>0.0223148921362881</v>
      </c>
      <c r="I111" t="n">
        <v>0.0948164276211037</v>
      </c>
      <c r="J111" t="n">
        <v>0.0063031912863608</v>
      </c>
      <c r="K111" t="n">
        <v>0.7586043290912404</v>
      </c>
      <c r="L111" t="b">
        <v>0</v>
      </c>
      <c r="M111" t="b">
        <v>0</v>
      </c>
      <c r="N111" t="inlineStr">
        <is>
          <t>ref</t>
        </is>
      </c>
      <c r="O111" t="n">
        <v>40</v>
      </c>
      <c r="P111" t="n">
        <v>0.02213</v>
      </c>
      <c r="Q111" t="n">
        <v>-65</v>
      </c>
      <c r="R111" t="n">
        <v>0.1849</v>
      </c>
      <c r="S111">
        <f>IMAGE("https://mitra.stanford.edu/kundaje/oak/projects/neuro-variants/variant_position/credible/roussos_2024/variant_figures/roussos_2024.childhood.Astrocyte/rs2422021_count_position.png",4,220,900)</f>
        <v/>
      </c>
      <c r="T111">
        <f>IMAGE("https://mitra.stanford.edu/kundaje/oak/projects/neuro-variants/variant_position/credible/roussos_2024/variant_figures/roussos_2024.childhood.Astrocyte/rs2422021_profile_position.png",4,220,900)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-0.0431071336</v>
      </c>
      <c r="G112" t="n">
        <v>0.2688756990665294</v>
      </c>
      <c r="H112" t="n">
        <v>0.0109239063504676</v>
      </c>
      <c r="I112" t="n">
        <v>0.6238347082436171</v>
      </c>
      <c r="J112" t="n">
        <v>0.0168166517826474</v>
      </c>
      <c r="K112" t="n">
        <v>0.6204048782958084</v>
      </c>
      <c r="L112" t="b">
        <v>0</v>
      </c>
      <c r="M112" t="b">
        <v>0</v>
      </c>
      <c r="N112" t="inlineStr">
        <is>
          <t>ref</t>
        </is>
      </c>
      <c r="O112" t="n">
        <v>20</v>
      </c>
      <c r="P112" t="n">
        <v>0.001717</v>
      </c>
      <c r="Q112" t="n">
        <v>-85</v>
      </c>
      <c r="R112" t="n">
        <v>0.10846</v>
      </c>
      <c r="S112">
        <f>IMAGE("https://mitra.stanford.edu/kundaje/oak/projects/neuro-variants/variant_position/credible/roussos_2024/variant_figures/roussos_2024.childhood.Astrocyte/rs7531932_count_position.png",4,220,900)</f>
        <v/>
      </c>
      <c r="T112">
        <f>IMAGE("https://mitra.stanford.edu/kundaje/oak/projects/neuro-variants/variant_position/credible/roussos_2024/variant_figures/roussos_2024.childhood.Astrocyte/rs7531932_profile_position.png",4,220,900)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0.0768999626</v>
      </c>
      <c r="G113" t="n">
        <v>0.1138890920840596</v>
      </c>
      <c r="H113" t="n">
        <v>0.0142955690958507</v>
      </c>
      <c r="I113" t="n">
        <v>0.3474756310123189</v>
      </c>
      <c r="J113" t="n">
        <v>0.1167281109508216</v>
      </c>
      <c r="K113" t="n">
        <v>0.2969974950980908</v>
      </c>
      <c r="L113" t="b">
        <v>0</v>
      </c>
      <c r="M113" t="b">
        <v>0</v>
      </c>
      <c r="N113" t="inlineStr">
        <is>
          <t>alt</t>
        </is>
      </c>
      <c r="O113" t="n">
        <v>-100</v>
      </c>
      <c r="P113" t="n">
        <v>0.02951</v>
      </c>
      <c r="Q113" t="n">
        <v>-100</v>
      </c>
      <c r="R113" t="n">
        <v>0.1244</v>
      </c>
      <c r="S113">
        <f>IMAGE("https://mitra.stanford.edu/kundaje/oak/projects/neuro-variants/variant_position/credible/roussos_2024/variant_figures/roussos_2024.childhood.Astrocyte/rs10789321_count_position.png",4,220,900)</f>
        <v/>
      </c>
      <c r="T113">
        <f>IMAGE("https://mitra.stanford.edu/kundaje/oak/projects/neuro-variants/variant_position/credible/roussos_2024/variant_figures/roussos_2024.childhood.Astrocyte/rs10789321_profile_position.png",4,220,900)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-0.0760883624</v>
      </c>
      <c r="G114" t="n">
        <v>0.1333417381095649</v>
      </c>
      <c r="H114" t="n">
        <v>0.0219204815375314</v>
      </c>
      <c r="I114" t="n">
        <v>0.0921180805560961</v>
      </c>
      <c r="J114" t="n">
        <v>0.0011670597574286</v>
      </c>
      <c r="K114" t="n">
        <v>0.8940531689638587</v>
      </c>
      <c r="L114" t="b">
        <v>0</v>
      </c>
      <c r="M114" t="b">
        <v>0</v>
      </c>
      <c r="N114" t="inlineStr">
        <is>
          <t>ref</t>
        </is>
      </c>
      <c r="O114" t="n">
        <v>-95</v>
      </c>
      <c r="P114" t="n">
        <v>0.01959</v>
      </c>
      <c r="Q114" t="n">
        <v>-15</v>
      </c>
      <c r="R114" t="n">
        <v>0.0319</v>
      </c>
      <c r="S114">
        <f>IMAGE("https://mitra.stanford.edu/kundaje/oak/projects/neuro-variants/variant_position/credible/roussos_2024/variant_figures/roussos_2024.childhood.Astrocyte/rs11209830_count_position.png",4,220,900)</f>
        <v/>
      </c>
      <c r="T114">
        <f>IMAGE("https://mitra.stanford.edu/kundaje/oak/projects/neuro-variants/variant_position/credible/roussos_2024/variant_figures/roussos_2024.childhood.Astrocyte/rs11209830_profile_position.png",4,220,900)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-0.0492730888</v>
      </c>
      <c r="G115" t="n">
        <v>0.2296616151881828</v>
      </c>
      <c r="H115" t="n">
        <v>0.0114160613873042</v>
      </c>
      <c r="I115" t="n">
        <v>0.5669861055624248</v>
      </c>
      <c r="J115" t="n">
        <v>0.0378367032279238</v>
      </c>
      <c r="K115" t="n">
        <v>0.4909452195434379</v>
      </c>
      <c r="L115" t="b">
        <v>0</v>
      </c>
      <c r="M115" t="b">
        <v>0</v>
      </c>
      <c r="N115" t="inlineStr">
        <is>
          <t>ref</t>
        </is>
      </c>
      <c r="O115" t="n">
        <v>-10</v>
      </c>
      <c r="P115" t="n">
        <v>0.001709</v>
      </c>
      <c r="Q115" t="n">
        <v>100</v>
      </c>
      <c r="R115" t="n">
        <v>0.1292</v>
      </c>
      <c r="S115">
        <f>IMAGE("https://mitra.stanford.edu/kundaje/oak/projects/neuro-variants/variant_position/credible/roussos_2024/variant_figures/roussos_2024.childhood.Astrocyte/rs12740031_count_position.png",4,220,900)</f>
        <v/>
      </c>
      <c r="T115">
        <f>IMAGE("https://mitra.stanford.edu/kundaje/oak/projects/neuro-variants/variant_position/credible/roussos_2024/variant_figures/roussos_2024.childhood.Astrocyte/rs12740031_profile_position.png",4,220,900)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-0.0348548894</v>
      </c>
      <c r="G116" t="n">
        <v>0.3395258274183583</v>
      </c>
      <c r="H116" t="n">
        <v>0.0291091213857583</v>
      </c>
      <c r="I116" t="n">
        <v>0.0340316331029798</v>
      </c>
      <c r="J116" t="n">
        <v>0.0307221420775037</v>
      </c>
      <c r="K116" t="n">
        <v>0.5288709972784909</v>
      </c>
      <c r="L116" t="b">
        <v>0</v>
      </c>
      <c r="M116" t="b">
        <v>0</v>
      </c>
      <c r="N116" t="inlineStr">
        <is>
          <t>ref</t>
        </is>
      </c>
      <c r="O116" t="n">
        <v>100</v>
      </c>
      <c r="P116" t="n">
        <v>0.001526</v>
      </c>
      <c r="Q116" t="n">
        <v>15</v>
      </c>
      <c r="R116" t="n">
        <v>0.013306</v>
      </c>
      <c r="S116">
        <f>IMAGE("https://mitra.stanford.edu/kundaje/oak/projects/neuro-variants/variant_position/credible/roussos_2024/variant_figures/roussos_2024.childhood.Astrocyte/rs517762_count_position.png",4,220,900)</f>
        <v/>
      </c>
      <c r="T116">
        <f>IMAGE("https://mitra.stanford.edu/kundaje/oak/projects/neuro-variants/variant_position/credible/roussos_2024/variant_figures/roussos_2024.childhood.Astrocyte/rs517762_profile_position.png",4,220,900)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0.1199284766</v>
      </c>
      <c r="G117" t="n">
        <v>0.0524147122346921</v>
      </c>
      <c r="H117" t="n">
        <v>0.0230828391258633</v>
      </c>
      <c r="I117" t="n">
        <v>0.0843402733586513</v>
      </c>
      <c r="J117" t="n">
        <v>0.0842488913313945</v>
      </c>
      <c r="K117" t="n">
        <v>0.365269767289554</v>
      </c>
      <c r="L117" t="b">
        <v>0</v>
      </c>
      <c r="M117" t="b">
        <v>0</v>
      </c>
      <c r="N117" t="inlineStr">
        <is>
          <t>alt</t>
        </is>
      </c>
      <c r="O117" t="n">
        <v>95</v>
      </c>
      <c r="P117" t="n">
        <v>0.03146</v>
      </c>
      <c r="Q117" t="n">
        <v>90</v>
      </c>
      <c r="R117" t="n">
        <v>0.1719</v>
      </c>
      <c r="S117">
        <f>IMAGE("https://mitra.stanford.edu/kundaje/oak/projects/neuro-variants/variant_position/credible/roussos_2024/variant_figures/roussos_2024.childhood.Astrocyte/rs11209863_count_position.png",4,220,900)</f>
        <v/>
      </c>
      <c r="T117">
        <f>IMAGE("https://mitra.stanford.edu/kundaje/oak/projects/neuro-variants/variant_position/credible/roussos_2024/variant_figures/roussos_2024.childhood.Astrocyte/rs11209863_profile_position.png",4,220,900)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0.0835794398</v>
      </c>
      <c r="G118" t="n">
        <v>0.0993214595620774</v>
      </c>
      <c r="H118" t="n">
        <v>0.0134756297339959</v>
      </c>
      <c r="I118" t="n">
        <v>0.3908526094753632</v>
      </c>
      <c r="J118" t="n">
        <v>0.0130666422416095</v>
      </c>
      <c r="K118" t="n">
        <v>0.6725242539231222</v>
      </c>
      <c r="L118" t="b">
        <v>0</v>
      </c>
      <c r="M118" t="b">
        <v>0</v>
      </c>
      <c r="N118" t="inlineStr">
        <is>
          <t>alt</t>
        </is>
      </c>
      <c r="O118" t="n">
        <v>-90</v>
      </c>
      <c r="P118" t="n">
        <v>0.004143</v>
      </c>
      <c r="Q118" t="n">
        <v>-100</v>
      </c>
      <c r="R118" t="n">
        <v>0.0447</v>
      </c>
      <c r="S118">
        <f>IMAGE("https://mitra.stanford.edu/kundaje/oak/projects/neuro-variants/variant_position/credible/roussos_2024/variant_figures/roussos_2024.childhood.Astrocyte/rs12135442_count_position.png",4,220,900)</f>
        <v/>
      </c>
      <c r="T118">
        <f>IMAGE("https://mitra.stanford.edu/kundaje/oak/projects/neuro-variants/variant_position/credible/roussos_2024/variant_figures/roussos_2024.childhood.Astrocyte/rs12135442_profile_position.png",4,220,900)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0.008237850119999999</v>
      </c>
      <c r="G119" t="n">
        <v>0.7596869446969051</v>
      </c>
      <c r="H119" t="n">
        <v>0.0121608807315429</v>
      </c>
      <c r="I119" t="n">
        <v>0.5050168258003586</v>
      </c>
      <c r="J119" t="n">
        <v>0.0020349125659285</v>
      </c>
      <c r="K119" t="n">
        <v>0.8607179902400977</v>
      </c>
      <c r="L119" t="b">
        <v>0</v>
      </c>
      <c r="M119" t="b">
        <v>0</v>
      </c>
      <c r="N119" t="inlineStr">
        <is>
          <t>alt</t>
        </is>
      </c>
      <c r="O119" t="n">
        <v>70</v>
      </c>
      <c r="P119" t="n">
        <v>0.1003</v>
      </c>
      <c r="Q119" t="n">
        <v>65</v>
      </c>
      <c r="R119" t="n">
        <v>0.1056</v>
      </c>
      <c r="S119">
        <f>IMAGE("https://mitra.stanford.edu/kundaje/oak/projects/neuro-variants/variant_position/credible/roussos_2024/variant_figures/roussos_2024.childhood.Astrocyte/rs11210070_count_position.png",4,220,900)</f>
        <v/>
      </c>
      <c r="T119">
        <f>IMAGE("https://mitra.stanford.edu/kundaje/oak/projects/neuro-variants/variant_position/credible/roussos_2024/variant_figures/roussos_2024.childhood.Astrocyte/rs11210070_profile_position.png",4,220,900)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0.01015351846</v>
      </c>
      <c r="G120" t="n">
        <v>0.7186846363910625</v>
      </c>
      <c r="H120" t="n">
        <v>0.028989347237045</v>
      </c>
      <c r="I120" t="n">
        <v>0.0337104621643003</v>
      </c>
      <c r="J120" t="n">
        <v>0.0001099127567493</v>
      </c>
      <c r="K120" t="n">
        <v>0.9878426885751256</v>
      </c>
      <c r="L120" t="b">
        <v>0</v>
      </c>
      <c r="M120" t="b">
        <v>0</v>
      </c>
      <c r="N120" t="inlineStr">
        <is>
          <t>alt</t>
        </is>
      </c>
      <c r="O120" t="n">
        <v>-85</v>
      </c>
      <c r="P120" t="n">
        <v>0.003036</v>
      </c>
      <c r="Q120" t="n">
        <v>-10</v>
      </c>
      <c r="R120" t="n">
        <v>0.02368</v>
      </c>
      <c r="S120">
        <f>IMAGE("https://mitra.stanford.edu/kundaje/oak/projects/neuro-variants/variant_position/credible/roussos_2024/variant_figures/roussos_2024.childhood.Astrocyte/rs2422320_count_position.png",4,220,900)</f>
        <v/>
      </c>
      <c r="T120">
        <f>IMAGE("https://mitra.stanford.edu/kundaje/oak/projects/neuro-variants/variant_position/credible/roussos_2024/variant_figures/roussos_2024.childhood.Astrocyte/rs2422320_profile_position.png",4,220,900)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0.1577840592</v>
      </c>
      <c r="G121" t="n">
        <v>0.0297282635526856</v>
      </c>
      <c r="H121" t="n">
        <v>0.031027419018139</v>
      </c>
      <c r="I121" t="n">
        <v>0.0303042378466807</v>
      </c>
      <c r="J121" t="n">
        <v>0.0029829100928914</v>
      </c>
      <c r="K121" t="n">
        <v>0.83434291337263</v>
      </c>
      <c r="L121" t="b">
        <v>0</v>
      </c>
      <c r="M121" t="b">
        <v>0</v>
      </c>
      <c r="N121" t="inlineStr">
        <is>
          <t>alt</t>
        </is>
      </c>
      <c r="O121" t="n">
        <v>60</v>
      </c>
      <c r="P121" t="n">
        <v>0.02142</v>
      </c>
      <c r="Q121" t="n">
        <v>60</v>
      </c>
      <c r="R121" t="n">
        <v>0.1096</v>
      </c>
      <c r="S121">
        <f>IMAGE("https://mitra.stanford.edu/kundaje/oak/projects/neuro-variants/variant_position/credible/roussos_2024/variant_figures/roussos_2024.childhood.Astrocyte/rs1525980_count_position.png",4,220,900)</f>
        <v/>
      </c>
      <c r="T121">
        <f>IMAGE("https://mitra.stanford.edu/kundaje/oak/projects/neuro-variants/variant_position/credible/roussos_2024/variant_figures/roussos_2024.childhood.Astrocyte/rs1525980_profile_position.png",4,220,900)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0.0751997566</v>
      </c>
      <c r="G122" t="n">
        <v>0.1189181214510914</v>
      </c>
      <c r="H122" t="n">
        <v>0.0192712794202953</v>
      </c>
      <c r="I122" t="n">
        <v>0.1439170526770315</v>
      </c>
      <c r="J122" t="n">
        <v>0.0047201422759573</v>
      </c>
      <c r="K122" t="n">
        <v>0.7777790170434146</v>
      </c>
      <c r="L122" t="b">
        <v>0</v>
      </c>
      <c r="M122" t="b">
        <v>0</v>
      </c>
      <c r="N122" t="inlineStr">
        <is>
          <t>alt</t>
        </is>
      </c>
      <c r="O122" t="n">
        <v>50</v>
      </c>
      <c r="P122" t="n">
        <v>0.01029</v>
      </c>
      <c r="Q122" t="n">
        <v>50</v>
      </c>
      <c r="R122" t="n">
        <v>0.238</v>
      </c>
      <c r="S122">
        <f>IMAGE("https://mitra.stanford.edu/kundaje/oak/projects/neuro-variants/variant_position/credible/roussos_2024/variant_figures/roussos_2024.childhood.Astrocyte/rs6682845_count_position.png",4,220,900)</f>
        <v/>
      </c>
      <c r="T122">
        <f>IMAGE("https://mitra.stanford.edu/kundaje/oak/projects/neuro-variants/variant_position/credible/roussos_2024/variant_figures/roussos_2024.childhood.Astrocyte/rs6682845_profile_position.png",4,220,900)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-0.1318311308</v>
      </c>
      <c r="G123" t="n">
        <v>0.0448930051701682</v>
      </c>
      <c r="H123" t="n">
        <v>0.0188490815630804</v>
      </c>
      <c r="I123" t="n">
        <v>0.1593713617920853</v>
      </c>
      <c r="J123" t="n">
        <v>0.1713700167158983</v>
      </c>
      <c r="K123" t="n">
        <v>0.2273039763043415</v>
      </c>
      <c r="L123" t="b">
        <v>0</v>
      </c>
      <c r="M123" t="b">
        <v>0</v>
      </c>
      <c r="N123" t="inlineStr">
        <is>
          <t>ref</t>
        </is>
      </c>
      <c r="O123" t="n">
        <v>35</v>
      </c>
      <c r="P123" t="n">
        <v>0.00522</v>
      </c>
      <c r="Q123" t="n">
        <v>75</v>
      </c>
      <c r="R123" t="n">
        <v>0.1216</v>
      </c>
      <c r="S123">
        <f>IMAGE("https://mitra.stanford.edu/kundaje/oak/projects/neuro-variants/variant_position/credible/roussos_2024/variant_figures/roussos_2024.childhood.Astrocyte/rs11210117_count_position.png",4,220,900)</f>
        <v/>
      </c>
      <c r="T123">
        <f>IMAGE("https://mitra.stanford.edu/kundaje/oak/projects/neuro-variants/variant_position/credible/roussos_2024/variant_figures/roussos_2024.childhood.Astrocyte/rs11210117_profile_position.png",4,220,900)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-0.123583614</v>
      </c>
      <c r="G124" t="n">
        <v>0.0533801801274133</v>
      </c>
      <c r="H124" t="n">
        <v>0.0216897354011594</v>
      </c>
      <c r="I124" t="n">
        <v>0.0990237464717928</v>
      </c>
      <c r="J124" t="n">
        <v>0.0016196865959865</v>
      </c>
      <c r="K124" t="n">
        <v>0.8728919560712852</v>
      </c>
      <c r="L124" t="b">
        <v>0</v>
      </c>
      <c r="M124" t="b">
        <v>0</v>
      </c>
      <c r="N124" t="inlineStr">
        <is>
          <t>ref</t>
        </is>
      </c>
      <c r="O124" t="n">
        <v>-25</v>
      </c>
      <c r="P124" t="n">
        <v>0.000557</v>
      </c>
      <c r="Q124" t="n">
        <v>-10</v>
      </c>
      <c r="R124" t="n">
        <v>0.0155</v>
      </c>
      <c r="S124">
        <f>IMAGE("https://mitra.stanford.edu/kundaje/oak/projects/neuro-variants/variant_position/credible/roussos_2024/variant_figures/roussos_2024.childhood.Astrocyte/rs11210120_count_position.png",4,220,900)</f>
        <v/>
      </c>
      <c r="T124">
        <f>IMAGE("https://mitra.stanford.edu/kundaje/oak/projects/neuro-variants/variant_position/credible/roussos_2024/variant_figures/roussos_2024.childhood.Astrocyte/rs11210120_profile_position.png",4,220,900)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0.0232243643999999</v>
      </c>
      <c r="G125" t="n">
        <v>0.3249292428924391</v>
      </c>
      <c r="H125" t="n">
        <v>0.0114644906878104</v>
      </c>
      <c r="I125" t="n">
        <v>0.5629385559548319</v>
      </c>
      <c r="J125" t="n">
        <v>0.0412798729897032</v>
      </c>
      <c r="K125" t="n">
        <v>0.4799393267248184</v>
      </c>
      <c r="L125" t="b">
        <v>0</v>
      </c>
      <c r="M125" t="b">
        <v>0</v>
      </c>
      <c r="N125" t="inlineStr">
        <is>
          <t>alt</t>
        </is>
      </c>
      <c r="O125" t="n">
        <v>5</v>
      </c>
      <c r="P125" t="n">
        <v>0.000534</v>
      </c>
      <c r="Q125" t="n">
        <v>-90</v>
      </c>
      <c r="R125" t="n">
        <v>0.01489</v>
      </c>
      <c r="S125">
        <f>IMAGE("https://mitra.stanford.edu/kundaje/oak/projects/neuro-variants/variant_position/credible/roussos_2024/variant_figures/roussos_2024.childhood.Astrocyte/rs61773608_count_position.png",4,220,900)</f>
        <v/>
      </c>
      <c r="T125">
        <f>IMAGE("https://mitra.stanford.edu/kundaje/oak/projects/neuro-variants/variant_position/credible/roussos_2024/variant_figures/roussos_2024.childhood.Astrocyte/rs61773608_profile_position.png",4,220,900)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-0.0244363463999999</v>
      </c>
      <c r="G126" t="n">
        <v>0.4653668192412774</v>
      </c>
      <c r="H126" t="n">
        <v>0.0449942828892361</v>
      </c>
      <c r="I126" t="n">
        <v>0.0060999418019929</v>
      </c>
      <c r="J126" t="n">
        <v>0.0034492760260431</v>
      </c>
      <c r="K126" t="n">
        <v>0.8230235785378592</v>
      </c>
      <c r="L126" t="b">
        <v>0</v>
      </c>
      <c r="M126" t="b">
        <v>0</v>
      </c>
      <c r="N126" t="inlineStr">
        <is>
          <t>ref</t>
        </is>
      </c>
      <c r="O126" t="n">
        <v>95</v>
      </c>
      <c r="P126" t="n">
        <v>0.010254</v>
      </c>
      <c r="Q126" t="n">
        <v>-35</v>
      </c>
      <c r="R126" t="n">
        <v>0.05154</v>
      </c>
      <c r="S126">
        <f>IMAGE("https://mitra.stanford.edu/kundaje/oak/projects/neuro-variants/variant_position/credible/roussos_2024/variant_figures/roussos_2024.childhood.Astrocyte/rs4233100_count_position.png",4,220,900)</f>
        <v/>
      </c>
      <c r="T126">
        <f>IMAGE("https://mitra.stanford.edu/kundaje/oak/projects/neuro-variants/variant_position/credible/roussos_2024/variant_figures/roussos_2024.childhood.Astrocyte/rs4233100_profile_position.png",4,220,900)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-0.0027101200599999</v>
      </c>
      <c r="G127" t="n">
        <v>0.4959506970578819</v>
      </c>
      <c r="H127" t="n">
        <v>0.018407681101398</v>
      </c>
      <c r="I127" t="n">
        <v>0.1649050727888606</v>
      </c>
      <c r="J127" t="n">
        <v>0.0369970918916443</v>
      </c>
      <c r="K127" t="n">
        <v>0.528800126581063</v>
      </c>
      <c r="L127" t="b">
        <v>0</v>
      </c>
      <c r="M127" t="b">
        <v>0</v>
      </c>
      <c r="N127" t="inlineStr">
        <is>
          <t>ref</t>
        </is>
      </c>
      <c r="O127" t="n">
        <v>100</v>
      </c>
      <c r="P127" t="n">
        <v>0.02731</v>
      </c>
      <c r="Q127" t="n">
        <v>-65</v>
      </c>
      <c r="R127" t="n">
        <v>0.2788</v>
      </c>
      <c r="S127">
        <f>IMAGE("https://mitra.stanford.edu/kundaje/oak/projects/neuro-variants/variant_position/credible/roussos_2024/variant_figures/roussos_2024.childhood.Astrocyte/rs12141350_count_position.png",4,220,900)</f>
        <v/>
      </c>
      <c r="T127">
        <f>IMAGE("https://mitra.stanford.edu/kundaje/oak/projects/neuro-variants/variant_position/credible/roussos_2024/variant_figures/roussos_2024.childhood.Astrocyte/rs12141350_profile_position.png",4,220,900)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0.0138912896399999</v>
      </c>
      <c r="G128" t="n">
        <v>0.6348130966794936</v>
      </c>
      <c r="H128" t="n">
        <v>0.0250892521847317</v>
      </c>
      <c r="I128" t="n">
        <v>0.0574231035732406</v>
      </c>
      <c r="J128" t="n">
        <v>0.0002732553258073</v>
      </c>
      <c r="K128" t="n">
        <v>0.9676438641837406</v>
      </c>
      <c r="L128" t="b">
        <v>0</v>
      </c>
      <c r="M128" t="b">
        <v>0</v>
      </c>
      <c r="N128" t="inlineStr">
        <is>
          <t>alt</t>
        </is>
      </c>
      <c r="O128" t="n">
        <v>40</v>
      </c>
      <c r="P128" t="n">
        <v>0.004852</v>
      </c>
      <c r="Q128" t="n">
        <v>40</v>
      </c>
      <c r="R128" t="n">
        <v>0.03766</v>
      </c>
      <c r="S128">
        <f>IMAGE("https://mitra.stanford.edu/kundaje/oak/projects/neuro-variants/variant_position/credible/roussos_2024/variant_figures/roussos_2024.childhood.Astrocyte/rs11210125_count_position.png",4,220,900)</f>
        <v/>
      </c>
      <c r="T128">
        <f>IMAGE("https://mitra.stanford.edu/kundaje/oak/projects/neuro-variants/variant_position/credible/roussos_2024/variant_figures/roussos_2024.childhood.Astrocyte/rs11210125_profile_position.png",4,220,900)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-0.0417256345999999</v>
      </c>
      <c r="G129" t="n">
        <v>0.2758375777180116</v>
      </c>
      <c r="H129" t="n">
        <v>0.0101660305727218</v>
      </c>
      <c r="I129" t="n">
        <v>0.6675509910771995</v>
      </c>
      <c r="J129" t="n">
        <v>0.0273644600154183</v>
      </c>
      <c r="K129" t="n">
        <v>0.5448718842319371</v>
      </c>
      <c r="L129" t="b">
        <v>0</v>
      </c>
      <c r="M129" t="b">
        <v>0</v>
      </c>
      <c r="N129" t="inlineStr">
        <is>
          <t>ref</t>
        </is>
      </c>
      <c r="O129" t="n">
        <v>-95</v>
      </c>
      <c r="P129" t="n">
        <v>0.02228</v>
      </c>
      <c r="Q129" t="n">
        <v>-40</v>
      </c>
      <c r="R129" t="n">
        <v>0.05908</v>
      </c>
      <c r="S129">
        <f>IMAGE("https://mitra.stanford.edu/kundaje/oak/projects/neuro-variants/variant_position/credible/roussos_2024/variant_figures/roussos_2024.childhood.Astrocyte/rs4428835_count_position.png",4,220,900)</f>
        <v/>
      </c>
      <c r="T129">
        <f>IMAGE("https://mitra.stanford.edu/kundaje/oak/projects/neuro-variants/variant_position/credible/roussos_2024/variant_figures/roussos_2024.childhood.Astrocyte/rs4428835_profile_position.png",4,220,900)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0.0142376314199999</v>
      </c>
      <c r="G130" t="n">
        <v>0.6122198587071842</v>
      </c>
      <c r="H130" t="n">
        <v>0.0392067136517359</v>
      </c>
      <c r="I130" t="n">
        <v>0.0103876402036953</v>
      </c>
      <c r="J130" t="n">
        <v>0.0001961637394762</v>
      </c>
      <c r="K130" t="n">
        <v>0.980645950787322</v>
      </c>
      <c r="L130" t="b">
        <v>0</v>
      </c>
      <c r="M130" t="b">
        <v>0</v>
      </c>
      <c r="N130" t="inlineStr">
        <is>
          <t>alt</t>
        </is>
      </c>
      <c r="O130" t="n">
        <v>-20</v>
      </c>
      <c r="P130" t="n">
        <v>0.002983</v>
      </c>
      <c r="Q130" t="n">
        <v>-65</v>
      </c>
      <c r="R130" t="n">
        <v>0.01999</v>
      </c>
      <c r="S130">
        <f>IMAGE("https://mitra.stanford.edu/kundaje/oak/projects/neuro-variants/variant_position/credible/roussos_2024/variant_figures/roussos_2024.childhood.Astrocyte/rs7547148_count_position.png",4,220,900)</f>
        <v/>
      </c>
      <c r="T130">
        <f>IMAGE("https://mitra.stanford.edu/kundaje/oak/projects/neuro-variants/variant_position/credible/roussos_2024/variant_figures/roussos_2024.childhood.Astrocyte/rs7547148_profile_position.png",4,220,900)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0.00268769572</v>
      </c>
      <c r="G131" t="n">
        <v>0.8554680261511864</v>
      </c>
      <c r="H131" t="n">
        <v>0.0385757563997177</v>
      </c>
      <c r="I131" t="n">
        <v>0.0110229669113928</v>
      </c>
      <c r="J131" t="n">
        <v>0.0001549464556952</v>
      </c>
      <c r="K131" t="n">
        <v>0.97833763464339</v>
      </c>
      <c r="L131" t="b">
        <v>0</v>
      </c>
      <c r="M131" t="b">
        <v>0</v>
      </c>
      <c r="N131" t="inlineStr">
        <is>
          <t>alt</t>
        </is>
      </c>
      <c r="O131" t="n">
        <v>95</v>
      </c>
      <c r="P131" t="n">
        <v>0.007904</v>
      </c>
      <c r="Q131" t="n">
        <v>100</v>
      </c>
      <c r="R131" t="n">
        <v>0.00264</v>
      </c>
      <c r="S131">
        <f>IMAGE("https://mitra.stanford.edu/kundaje/oak/projects/neuro-variants/variant_position/credible/roussos_2024/variant_figures/roussos_2024.childhood.Astrocyte/rs12118367_count_position.png",4,220,900)</f>
        <v/>
      </c>
      <c r="T131">
        <f>IMAGE("https://mitra.stanford.edu/kundaje/oak/projects/neuro-variants/variant_position/credible/roussos_2024/variant_figures/roussos_2024.childhood.Astrocyte/rs12118367_profile_position.png",4,220,900)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-0.0092301066799999</v>
      </c>
      <c r="G132" t="n">
        <v>0.7653013273417172</v>
      </c>
      <c r="H132" t="n">
        <v>0.0351105594292478</v>
      </c>
      <c r="I132" t="n">
        <v>0.0164416138039611</v>
      </c>
      <c r="J132" t="n">
        <v>0.0004442307251951</v>
      </c>
      <c r="K132" t="n">
        <v>0.9434324835964844</v>
      </c>
      <c r="L132" t="b">
        <v>0</v>
      </c>
      <c r="M132" t="b">
        <v>0</v>
      </c>
      <c r="N132" t="inlineStr">
        <is>
          <t>ref</t>
        </is>
      </c>
      <c r="O132" t="n">
        <v>-100</v>
      </c>
      <c r="P132" t="n">
        <v>0.008030000000000001</v>
      </c>
      <c r="Q132" t="n">
        <v>-100</v>
      </c>
      <c r="R132" t="n">
        <v>0.05292</v>
      </c>
      <c r="S132">
        <f>IMAGE("https://mitra.stanford.edu/kundaje/oak/projects/neuro-variants/variant_position/credible/roussos_2024/variant_figures/roussos_2024.childhood.Astrocyte/rs12137150_count_position.png",4,220,900)</f>
        <v/>
      </c>
      <c r="T132">
        <f>IMAGE("https://mitra.stanford.edu/kundaje/oak/projects/neuro-variants/variant_position/credible/roussos_2024/variant_figures/roussos_2024.childhood.Astrocyte/rs12137150_profile_position.png",4,220,900)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-0.037332319</v>
      </c>
      <c r="G133" t="n">
        <v>0.3072915101963786</v>
      </c>
      <c r="H133" t="n">
        <v>0.0109417127064833</v>
      </c>
      <c r="I133" t="n">
        <v>0.6103262170795933</v>
      </c>
      <c r="J133" t="n">
        <v>0.0020478883774892</v>
      </c>
      <c r="K133" t="n">
        <v>0.8686131416978864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0.04633</v>
      </c>
      <c r="Q133" t="n">
        <v>15</v>
      </c>
      <c r="R133" t="n">
        <v>0.04074</v>
      </c>
      <c r="S133">
        <f>IMAGE("https://mitra.stanford.edu/kundaje/oak/projects/neuro-variants/variant_position/credible/roussos_2024/variant_figures/roussos_2024.childhood.Astrocyte/rs4391625_count_position.png",4,220,900)</f>
        <v/>
      </c>
      <c r="T133">
        <f>IMAGE("https://mitra.stanford.edu/kundaje/oak/projects/neuro-variants/variant_position/credible/roussos_2024/variant_figures/roussos_2024.childhood.Astrocyte/rs4391625_profile_position.png",4,220,900)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-0.0462191224</v>
      </c>
      <c r="G134" t="n">
        <v>0.2414186576171506</v>
      </c>
      <c r="H134" t="n">
        <v>0.0118670723488352</v>
      </c>
      <c r="I134" t="n">
        <v>0.5310114022992752</v>
      </c>
      <c r="J134" t="n">
        <v>0.0014181798752794</v>
      </c>
      <c r="K134" t="n">
        <v>0.8970992372659067</v>
      </c>
      <c r="L134" t="b">
        <v>0</v>
      </c>
      <c r="M134" t="b">
        <v>0</v>
      </c>
      <c r="N134" t="inlineStr">
        <is>
          <t>ref</t>
        </is>
      </c>
      <c r="O134" t="n">
        <v>-80</v>
      </c>
      <c r="P134" t="n">
        <v>0.0225</v>
      </c>
      <c r="Q134" t="n">
        <v>-100</v>
      </c>
      <c r="R134" t="n">
        <v>0.0506</v>
      </c>
      <c r="S134">
        <f>IMAGE("https://mitra.stanford.edu/kundaje/oak/projects/neuro-variants/variant_position/credible/roussos_2024/variant_figures/roussos_2024.childhood.Astrocyte/rs57852356_count_position.png",4,220,900)</f>
        <v/>
      </c>
      <c r="T134">
        <f>IMAGE("https://mitra.stanford.edu/kundaje/oak/projects/neuro-variants/variant_position/credible/roussos_2024/variant_figures/roussos_2024.childhood.Astrocyte/rs57852356_profile_position.png",4,220,900)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-0.0405493326999999</v>
      </c>
      <c r="G135" t="n">
        <v>0.2838424119196163</v>
      </c>
      <c r="H135" t="n">
        <v>0.0162868285838667</v>
      </c>
      <c r="I135" t="n">
        <v>0.2387131220037325</v>
      </c>
      <c r="J135" t="n">
        <v>0.0020097242258401</v>
      </c>
      <c r="K135" t="n">
        <v>0.8589520022821605</v>
      </c>
      <c r="L135" t="b">
        <v>0</v>
      </c>
      <c r="M135" t="b">
        <v>0</v>
      </c>
      <c r="N135" t="inlineStr">
        <is>
          <t>ref</t>
        </is>
      </c>
      <c r="O135" t="n">
        <v>10</v>
      </c>
      <c r="P135" t="n">
        <v>0.0001221</v>
      </c>
      <c r="Q135" t="n">
        <v>100</v>
      </c>
      <c r="R135" t="n">
        <v>0.05914</v>
      </c>
      <c r="S135">
        <f>IMAGE("https://mitra.stanford.edu/kundaje/oak/projects/neuro-variants/variant_position/credible/roussos_2024/variant_figures/roussos_2024.childhood.Astrocyte/rs6424521_count_position.png",4,220,900)</f>
        <v/>
      </c>
      <c r="T135">
        <f>IMAGE("https://mitra.stanford.edu/kundaje/oak/projects/neuro-variants/variant_position/credible/roussos_2024/variant_figures/roussos_2024.childhood.Astrocyte/rs6424521_profile_position.png",4,220,900)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0.0826747018</v>
      </c>
      <c r="G136" t="n">
        <v>0.0962991437284529</v>
      </c>
      <c r="H136" t="n">
        <v>0.0124049431857728</v>
      </c>
      <c r="I136" t="n">
        <v>0.4791098319776147</v>
      </c>
      <c r="J136" t="n">
        <v>0.0128254448031874</v>
      </c>
      <c r="K136" t="n">
        <v>0.6586842262280873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0.05554</v>
      </c>
      <c r="Q136" t="n">
        <v>100</v>
      </c>
      <c r="R136" t="n">
        <v>0.10065</v>
      </c>
      <c r="S136">
        <f>IMAGE("https://mitra.stanford.edu/kundaje/oak/projects/neuro-variants/variant_position/credible/roussos_2024/variant_figures/roussos_2024.childhood.Astrocyte/rs4454488_count_position.png",4,220,900)</f>
        <v/>
      </c>
      <c r="T136">
        <f>IMAGE("https://mitra.stanford.edu/kundaje/oak/projects/neuro-variants/variant_position/credible/roussos_2024/variant_figures/roussos_2024.childhood.Astrocyte/rs4454488_profile_position.png",4,220,900)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0.0554525178</v>
      </c>
      <c r="G137" t="n">
        <v>0.1996121536334051</v>
      </c>
      <c r="H137" t="n">
        <v>0.018338675369798</v>
      </c>
      <c r="I137" t="n">
        <v>0.166509625784482</v>
      </c>
      <c r="J137" t="n">
        <v>0.0087273781991099</v>
      </c>
      <c r="K137" t="n">
        <v>0.7078443476397742</v>
      </c>
      <c r="L137" t="b">
        <v>0</v>
      </c>
      <c r="M137" t="b">
        <v>0</v>
      </c>
      <c r="N137" t="inlineStr">
        <is>
          <t>alt</t>
        </is>
      </c>
      <c r="O137" t="n">
        <v>65</v>
      </c>
      <c r="P137" t="n">
        <v>0.00641</v>
      </c>
      <c r="Q137" t="n">
        <v>-15</v>
      </c>
      <c r="R137" t="n">
        <v>0.06238</v>
      </c>
      <c r="S137">
        <f>IMAGE("https://mitra.stanford.edu/kundaje/oak/projects/neuro-variants/variant_position/credible/roussos_2024/variant_figures/roussos_2024.childhood.Astrocyte/rs4369180_count_position.png",4,220,900)</f>
        <v/>
      </c>
      <c r="T137">
        <f>IMAGE("https://mitra.stanford.edu/kundaje/oak/projects/neuro-variants/variant_position/credible/roussos_2024/variant_figures/roussos_2024.childhood.Astrocyte/rs4369180_profile_position.png",4,220,900)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-0.01072001144</v>
      </c>
      <c r="G138" t="n">
        <v>0.4373567822259773</v>
      </c>
      <c r="H138" t="n">
        <v>0.0272880121808027</v>
      </c>
      <c r="I138" t="n">
        <v>0.0425847691927379</v>
      </c>
      <c r="J138" t="n">
        <v>0.0049918710356986</v>
      </c>
      <c r="K138" t="n">
        <v>0.7746285505147354</v>
      </c>
      <c r="L138" t="b">
        <v>0</v>
      </c>
      <c r="M138" t="b">
        <v>0</v>
      </c>
      <c r="N138" t="inlineStr">
        <is>
          <t>ref</t>
        </is>
      </c>
      <c r="O138" t="n">
        <v>-100</v>
      </c>
      <c r="P138" t="n">
        <v>0.00958</v>
      </c>
      <c r="Q138" t="n">
        <v>-100</v>
      </c>
      <c r="R138" t="n">
        <v>0.09</v>
      </c>
      <c r="S138">
        <f>IMAGE("https://mitra.stanford.edu/kundaje/oak/projects/neuro-variants/variant_position/credible/roussos_2024/variant_figures/roussos_2024.childhood.Astrocyte/rs4633241_count_position.png",4,220,900)</f>
        <v/>
      </c>
      <c r="T138">
        <f>IMAGE("https://mitra.stanford.edu/kundaje/oak/projects/neuro-variants/variant_position/credible/roussos_2024/variant_figures/roussos_2024.childhood.Astrocyte/rs4633241_profile_position.png",4,220,900)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-0.095042744</v>
      </c>
      <c r="G139" t="n">
        <v>0.0809607189198322</v>
      </c>
      <c r="H139" t="n">
        <v>0.0198855648579508</v>
      </c>
      <c r="I139" t="n">
        <v>0.1342513723080901</v>
      </c>
      <c r="J139" t="n">
        <v>0.0001778449466846</v>
      </c>
      <c r="K139" t="n">
        <v>0.9739923568833015</v>
      </c>
      <c r="L139" t="b">
        <v>0</v>
      </c>
      <c r="M139" t="b">
        <v>0</v>
      </c>
      <c r="N139" t="inlineStr">
        <is>
          <t>ref</t>
        </is>
      </c>
      <c r="O139" t="n">
        <v>-90</v>
      </c>
      <c r="P139" t="n">
        <v>0.00312</v>
      </c>
      <c r="Q139" t="n">
        <v>-100</v>
      </c>
      <c r="R139" t="n">
        <v>0.11</v>
      </c>
      <c r="S139">
        <f>IMAGE("https://mitra.stanford.edu/kundaje/oak/projects/neuro-variants/variant_position/credible/roussos_2024/variant_figures/roussos_2024.childhood.Astrocyte/rs10399828_count_position.png",4,220,900)</f>
        <v/>
      </c>
      <c r="T139">
        <f>IMAGE("https://mitra.stanford.edu/kundaje/oak/projects/neuro-variants/variant_position/credible/roussos_2024/variant_figures/roussos_2024.childhood.Astrocyte/rs10399828_profile_position.png",4,220,900)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-0.0116621223599999</v>
      </c>
      <c r="G140" t="n">
        <v>0.6103739830312542</v>
      </c>
      <c r="H140" t="n">
        <v>0.0279444466254535</v>
      </c>
      <c r="I140" t="n">
        <v>0.0388581231542287</v>
      </c>
      <c r="J140" t="n">
        <v>0.0130124491462679</v>
      </c>
      <c r="K140" t="n">
        <v>0.655858861182443</v>
      </c>
      <c r="L140" t="b">
        <v>0</v>
      </c>
      <c r="M140" t="b">
        <v>0</v>
      </c>
      <c r="N140" t="inlineStr">
        <is>
          <t>ref</t>
        </is>
      </c>
      <c r="O140" t="n">
        <v>-75</v>
      </c>
      <c r="P140" t="n">
        <v>0.008026</v>
      </c>
      <c r="Q140" t="n">
        <v>-100</v>
      </c>
      <c r="R140" t="n">
        <v>0.0423</v>
      </c>
      <c r="S140">
        <f>IMAGE("https://mitra.stanford.edu/kundaje/oak/projects/neuro-variants/variant_position/credible/roussos_2024/variant_figures/roussos_2024.childhood.Astrocyte/rs7528640_count_position.png",4,220,900)</f>
        <v/>
      </c>
      <c r="T140">
        <f>IMAGE("https://mitra.stanford.edu/kundaje/oak/projects/neuro-variants/variant_position/credible/roussos_2024/variant_figures/roussos_2024.childhood.Astrocyte/rs7528640_profile_position.png",4,220,900)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0.001601857904</v>
      </c>
      <c r="G141" t="n">
        <v>0.9203031681592472</v>
      </c>
      <c r="H141" t="n">
        <v>0.0188988035083181</v>
      </c>
      <c r="I141" t="n">
        <v>0.1534521455704133</v>
      </c>
      <c r="J141" t="n">
        <v>0.0026760703136329</v>
      </c>
      <c r="K141" t="n">
        <v>0.8322932896246549</v>
      </c>
      <c r="L141" t="b">
        <v>0</v>
      </c>
      <c r="M141" t="b">
        <v>0</v>
      </c>
      <c r="N141" t="inlineStr">
        <is>
          <t>alt</t>
        </is>
      </c>
      <c r="O141" t="n">
        <v>100</v>
      </c>
      <c r="P141" t="n">
        <v>0.02719</v>
      </c>
      <c r="Q141" t="n">
        <v>-5</v>
      </c>
      <c r="R141" t="n">
        <v>0.009950000000000001</v>
      </c>
      <c r="S141">
        <f>IMAGE("https://mitra.stanford.edu/kundaje/oak/projects/neuro-variants/variant_position/credible/roussos_2024/variant_figures/roussos_2024.childhood.Astrocyte/rs11210151_count_position.png",4,220,900)</f>
        <v/>
      </c>
      <c r="T141">
        <f>IMAGE("https://mitra.stanford.edu/kundaje/oak/projects/neuro-variants/variant_position/credible/roussos_2024/variant_figures/roussos_2024.childhood.Astrocyte/rs11210151_profile_position.png",4,220,900)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0.0261430036519999</v>
      </c>
      <c r="G142" t="n">
        <v>0.4330505996950158</v>
      </c>
      <c r="H142" t="n">
        <v>0.0150195813066513</v>
      </c>
      <c r="I142" t="n">
        <v>0.2985864327631245</v>
      </c>
      <c r="J142" t="n">
        <v>0.0631708303756115</v>
      </c>
      <c r="K142" t="n">
        <v>0.4166438648681124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0.01332</v>
      </c>
      <c r="Q142" t="n">
        <v>-10</v>
      </c>
      <c r="R142" t="n">
        <v>0.010254</v>
      </c>
      <c r="S142">
        <f>IMAGE("https://mitra.stanford.edu/kundaje/oak/projects/neuro-variants/variant_position/credible/roussos_2024/variant_figures/roussos_2024.childhood.Astrocyte/rs11210155_count_position.png",4,220,900)</f>
        <v/>
      </c>
      <c r="T142">
        <f>IMAGE("https://mitra.stanford.edu/kundaje/oak/projects/neuro-variants/variant_position/credible/roussos_2024/variant_figures/roussos_2024.childhood.Astrocyte/rs11210155_profile_position.png",4,220,900)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0.03318834228</v>
      </c>
      <c r="G143" t="n">
        <v>0.3962280403753229</v>
      </c>
      <c r="H143" t="n">
        <v>0.0080723841637904</v>
      </c>
      <c r="I143" t="n">
        <v>0.87565295946791</v>
      </c>
      <c r="J143" t="n">
        <v>0.0602444032271606</v>
      </c>
      <c r="K143" t="n">
        <v>0.4143488733461849</v>
      </c>
      <c r="L143" t="b">
        <v>0</v>
      </c>
      <c r="M143" t="b">
        <v>0</v>
      </c>
      <c r="N143" t="inlineStr">
        <is>
          <t>alt</t>
        </is>
      </c>
      <c r="O143" t="n">
        <v>-85</v>
      </c>
      <c r="P143" t="n">
        <v>0.0285</v>
      </c>
      <c r="Q143" t="n">
        <v>-100</v>
      </c>
      <c r="R143" t="n">
        <v>0.135</v>
      </c>
      <c r="S143">
        <f>IMAGE("https://mitra.stanford.edu/kundaje/oak/projects/neuro-variants/variant_position/credible/roussos_2024/variant_figures/roussos_2024.childhood.Astrocyte/rs11210158_count_position.png",4,220,900)</f>
        <v/>
      </c>
      <c r="T143">
        <f>IMAGE("https://mitra.stanford.edu/kundaje/oak/projects/neuro-variants/variant_position/credible/roussos_2024/variant_figures/roussos_2024.childhood.Astrocyte/rs11210158_profile_position.png",4,220,900)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0.0524947464</v>
      </c>
      <c r="G144" t="n">
        <v>0.2247928271352182</v>
      </c>
      <c r="H144" t="n">
        <v>0.0142991591254078</v>
      </c>
      <c r="I144" t="n">
        <v>0.3332029733086025</v>
      </c>
      <c r="J144" t="n">
        <v>0.062367856624915</v>
      </c>
      <c r="K144" t="n">
        <v>0.4077914557998964</v>
      </c>
      <c r="L144" t="b">
        <v>0</v>
      </c>
      <c r="M144" t="b">
        <v>0</v>
      </c>
      <c r="N144" t="inlineStr">
        <is>
          <t>alt</t>
        </is>
      </c>
      <c r="O144" t="n">
        <v>-85</v>
      </c>
      <c r="P144" t="n">
        <v>0.02719</v>
      </c>
      <c r="Q144" t="n">
        <v>-100</v>
      </c>
      <c r="R144" t="n">
        <v>0.10706</v>
      </c>
      <c r="S144">
        <f>IMAGE("https://mitra.stanford.edu/kundaje/oak/projects/neuro-variants/variant_position/credible/roussos_2024/variant_figures/roussos_2024.childhood.Astrocyte/rs11210159_count_position.png",4,220,900)</f>
        <v/>
      </c>
      <c r="T144">
        <f>IMAGE("https://mitra.stanford.edu/kundaje/oak/projects/neuro-variants/variant_position/credible/roussos_2024/variant_figures/roussos_2024.childhood.Astrocyte/rs11210159_profile_position.png",4,220,900)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-0.004706010352</v>
      </c>
      <c r="G145" t="n">
        <v>0.8173682988900439</v>
      </c>
      <c r="H145" t="n">
        <v>0.0122681281119047</v>
      </c>
      <c r="I145" t="n">
        <v>0.4844085456527844</v>
      </c>
      <c r="J145" t="n">
        <v>0.0026982055215893</v>
      </c>
      <c r="K145" t="n">
        <v>0.8388652632733495</v>
      </c>
      <c r="L145" t="b">
        <v>0</v>
      </c>
      <c r="M145" t="b">
        <v>0</v>
      </c>
      <c r="N145" t="inlineStr">
        <is>
          <t>ref</t>
        </is>
      </c>
      <c r="O145" t="n">
        <v>-60</v>
      </c>
      <c r="P145" t="n">
        <v>0.010056</v>
      </c>
      <c r="Q145" t="n">
        <v>-80</v>
      </c>
      <c r="R145" t="n">
        <v>0.1669</v>
      </c>
      <c r="S145">
        <f>IMAGE("https://mitra.stanford.edu/kundaje/oak/projects/neuro-variants/variant_position/credible/roussos_2024/variant_figures/roussos_2024.childhood.Astrocyte/rs6666765_count_position.png",4,220,900)</f>
        <v/>
      </c>
      <c r="T145">
        <f>IMAGE("https://mitra.stanford.edu/kundaje/oak/projects/neuro-variants/variant_position/credible/roussos_2024/variant_figures/roussos_2024.childhood.Astrocyte/rs6666765_profile_position.png",4,220,900)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-0.0444749808</v>
      </c>
      <c r="G146" t="n">
        <v>0.2546052833377015</v>
      </c>
      <c r="H146" t="n">
        <v>0.0271163732957518</v>
      </c>
      <c r="I146" t="n">
        <v>0.0441469186117269</v>
      </c>
      <c r="J146" t="n">
        <v>0.0170853274102569</v>
      </c>
      <c r="K146" t="n">
        <v>0.6112422016798451</v>
      </c>
      <c r="L146" t="b">
        <v>0</v>
      </c>
      <c r="M146" t="b">
        <v>0</v>
      </c>
      <c r="N146" t="inlineStr">
        <is>
          <t>ref</t>
        </is>
      </c>
      <c r="O146" t="n">
        <v>35</v>
      </c>
      <c r="P146" t="n">
        <v>0.0313</v>
      </c>
      <c r="Q146" t="n">
        <v>-10</v>
      </c>
      <c r="R146" t="n">
        <v>0.01794</v>
      </c>
      <c r="S146">
        <f>IMAGE("https://mitra.stanford.edu/kundaje/oak/projects/neuro-variants/variant_position/credible/roussos_2024/variant_figures/roussos_2024.childhood.Astrocyte/rs11210163_count_position.png",4,220,900)</f>
        <v/>
      </c>
      <c r="T146">
        <f>IMAGE("https://mitra.stanford.edu/kundaje/oak/projects/neuro-variants/variant_position/credible/roussos_2024/variant_figures/roussos_2024.childhood.Astrocyte/rs11210163_profile_position.png",4,220,900)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-0.036998122</v>
      </c>
      <c r="G147" t="n">
        <v>0.1638798994401787</v>
      </c>
      <c r="H147" t="n">
        <v>0.0112698880670917</v>
      </c>
      <c r="I147" t="n">
        <v>0.5832266520910883</v>
      </c>
      <c r="J147" t="n">
        <v>0.0012098036072755</v>
      </c>
      <c r="K147" t="n">
        <v>0.8994066641427687</v>
      </c>
      <c r="L147" t="b">
        <v>0</v>
      </c>
      <c r="M147" t="b">
        <v>0</v>
      </c>
      <c r="N147" t="inlineStr">
        <is>
          <t>ref</t>
        </is>
      </c>
      <c r="O147" t="n">
        <v>30</v>
      </c>
      <c r="P147" t="n">
        <v>0.002823</v>
      </c>
      <c r="Q147" t="n">
        <v>-65</v>
      </c>
      <c r="R147" t="n">
        <v>0.09406</v>
      </c>
      <c r="S147">
        <f>IMAGE("https://mitra.stanford.edu/kundaje/oak/projects/neuro-variants/variant_position/credible/roussos_2024/variant_figures/roussos_2024.childhood.Astrocyte/rs4492565_count_position.png",4,220,900)</f>
        <v/>
      </c>
      <c r="T147">
        <f>IMAGE("https://mitra.stanford.edu/kundaje/oak/projects/neuro-variants/variant_position/credible/roussos_2024/variant_figures/roussos_2024.childhood.Astrocyte/rs4492565_profile_position.png",4,220,900)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0.03159160526</v>
      </c>
      <c r="G148" t="n">
        <v>0.3703646077842685</v>
      </c>
      <c r="H148" t="n">
        <v>0.0240405924746952</v>
      </c>
      <c r="I148" t="n">
        <v>0.0695803805495165</v>
      </c>
      <c r="J148" t="n">
        <v>0.0176432873073663</v>
      </c>
      <c r="K148" t="n">
        <v>0.6600416852110059</v>
      </c>
      <c r="L148" t="b">
        <v>0</v>
      </c>
      <c r="M148" t="b">
        <v>0</v>
      </c>
      <c r="N148" t="inlineStr">
        <is>
          <t>alt</t>
        </is>
      </c>
      <c r="O148" t="n">
        <v>75</v>
      </c>
      <c r="P148" t="n">
        <v>0.00334</v>
      </c>
      <c r="Q148" t="n">
        <v>-100</v>
      </c>
      <c r="R148" t="n">
        <v>0.147</v>
      </c>
      <c r="S148">
        <f>IMAGE("https://mitra.stanford.edu/kundaje/oak/projects/neuro-variants/variant_position/credible/roussos_2024/variant_figures/roussos_2024.childhood.Astrocyte/rs4650196_count_position.png",4,220,900)</f>
        <v/>
      </c>
      <c r="T148">
        <f>IMAGE("https://mitra.stanford.edu/kundaje/oak/projects/neuro-variants/variant_position/credible/roussos_2024/variant_figures/roussos_2024.childhood.Astrocyte/rs4650196_profile_position.png",4,220,900)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0.1218956172</v>
      </c>
      <c r="G149" t="n">
        <v>0.0503928762112927</v>
      </c>
      <c r="H149" t="n">
        <v>0.0222144735008038</v>
      </c>
      <c r="I149" t="n">
        <v>0.09038628648864561</v>
      </c>
      <c r="J149" t="n">
        <v>0.0184080969064138</v>
      </c>
      <c r="K149" t="n">
        <v>0.6419554811371561</v>
      </c>
      <c r="L149" t="b">
        <v>0</v>
      </c>
      <c r="M149" t="b">
        <v>0</v>
      </c>
      <c r="N149" t="inlineStr">
        <is>
          <t>alt</t>
        </is>
      </c>
      <c r="O149" t="n">
        <v>-100</v>
      </c>
      <c r="P149" t="n">
        <v>0.002195</v>
      </c>
      <c r="Q149" t="n">
        <v>-80</v>
      </c>
      <c r="R149" t="n">
        <v>0.05466</v>
      </c>
      <c r="S149">
        <f>IMAGE("https://mitra.stanford.edu/kundaje/oak/projects/neuro-variants/variant_position/credible/roussos_2024/variant_figures/roussos_2024.childhood.Astrocyte/rs6695455_count_position.png",4,220,900)</f>
        <v/>
      </c>
      <c r="T149">
        <f>IMAGE("https://mitra.stanford.edu/kundaje/oak/projects/neuro-variants/variant_position/credible/roussos_2024/variant_figures/roussos_2024.childhood.Astrocyte/rs6695455_profile_position.png",4,220,900)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0.0057278125999999</v>
      </c>
      <c r="G150" t="n">
        <v>0.4613944142741674</v>
      </c>
      <c r="H150" t="n">
        <v>0.0135316218526545</v>
      </c>
      <c r="I150" t="n">
        <v>0.3903393316115245</v>
      </c>
      <c r="J150" t="n">
        <v>0.0485005304817078</v>
      </c>
      <c r="K150" t="n">
        <v>0.4926037550373957</v>
      </c>
      <c r="L150" t="b">
        <v>0</v>
      </c>
      <c r="M150" t="b">
        <v>0</v>
      </c>
      <c r="N150" t="inlineStr">
        <is>
          <t>alt</t>
        </is>
      </c>
      <c r="O150" t="n">
        <v>20</v>
      </c>
      <c r="P150" t="n">
        <v>0.01184</v>
      </c>
      <c r="Q150" t="n">
        <v>-55</v>
      </c>
      <c r="R150" t="n">
        <v>0.03516</v>
      </c>
      <c r="S150">
        <f>IMAGE("https://mitra.stanford.edu/kundaje/oak/projects/neuro-variants/variant_position/credible/roussos_2024/variant_figures/roussos_2024.childhood.Astrocyte/rs6698500_count_position.png",4,220,900)</f>
        <v/>
      </c>
      <c r="T150">
        <f>IMAGE("https://mitra.stanford.edu/kundaje/oak/projects/neuro-variants/variant_position/credible/roussos_2024/variant_figures/roussos_2024.childhood.Astrocyte/rs6698500_profile_position.png",4,220,900)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0.142389046</v>
      </c>
      <c r="G151" t="n">
        <v>0.0357904724379249</v>
      </c>
      <c r="H151" t="n">
        <v>0.0133400331121778</v>
      </c>
      <c r="I151" t="n">
        <v>0.4044503305837049</v>
      </c>
      <c r="J151" t="n">
        <v>0.0035950630853426</v>
      </c>
      <c r="K151" t="n">
        <v>0.8192276849090282</v>
      </c>
      <c r="L151" t="b">
        <v>0</v>
      </c>
      <c r="M151" t="b">
        <v>0</v>
      </c>
      <c r="N151" t="inlineStr">
        <is>
          <t>alt</t>
        </is>
      </c>
      <c r="O151" t="n">
        <v>-35</v>
      </c>
      <c r="P151" t="n">
        <v>0.009469999999999999</v>
      </c>
      <c r="Q151" t="n">
        <v>65</v>
      </c>
      <c r="R151" t="n">
        <v>0.02905</v>
      </c>
      <c r="S151">
        <f>IMAGE("https://mitra.stanford.edu/kundaje/oak/projects/neuro-variants/variant_position/credible/roussos_2024/variant_figures/roussos_2024.childhood.Astrocyte/rs12124553_count_position.png",4,220,900)</f>
        <v/>
      </c>
      <c r="T151">
        <f>IMAGE("https://mitra.stanford.edu/kundaje/oak/projects/neuro-variants/variant_position/credible/roussos_2024/variant_figures/roussos_2024.childhood.Astrocyte/rs12124553_profile_position.png",4,220,900)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0.0205407218999999</v>
      </c>
      <c r="G152" t="n">
        <v>0.4081604891750451</v>
      </c>
      <c r="H152" t="n">
        <v>0.036668275980551</v>
      </c>
      <c r="I152" t="n">
        <v>0.0135575285880226</v>
      </c>
      <c r="J152" t="n">
        <v>0.0016975414653507</v>
      </c>
      <c r="K152" t="n">
        <v>0.8937339219571321</v>
      </c>
      <c r="L152" t="b">
        <v>0</v>
      </c>
      <c r="M152" t="b">
        <v>0</v>
      </c>
      <c r="N152" t="inlineStr">
        <is>
          <t>alt</t>
        </is>
      </c>
      <c r="O152" t="n">
        <v>-20</v>
      </c>
      <c r="P152" t="n">
        <v>0.005623</v>
      </c>
      <c r="Q152" t="n">
        <v>-100</v>
      </c>
      <c r="R152" t="n">
        <v>0.2032</v>
      </c>
      <c r="S152">
        <f>IMAGE("https://mitra.stanford.edu/kundaje/oak/projects/neuro-variants/variant_position/credible/roussos_2024/variant_figures/roussos_2024.childhood.Astrocyte/rs12126688_count_position.png",4,220,900)</f>
        <v/>
      </c>
      <c r="T152">
        <f>IMAGE("https://mitra.stanford.edu/kundaje/oak/projects/neuro-variants/variant_position/credible/roussos_2024/variant_figures/roussos_2024.childhood.Astrocyte/rs12126688_profile_position.png",4,220,900)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0.0135922654799999</v>
      </c>
      <c r="G153" t="n">
        <v>0.5636634070197053</v>
      </c>
      <c r="H153" t="n">
        <v>0.0259628851186161</v>
      </c>
      <c r="I153" t="n">
        <v>0.0521379260828005</v>
      </c>
      <c r="J153" t="n">
        <v>0.0232816590720004</v>
      </c>
      <c r="K153" t="n">
        <v>0.5722882481872733</v>
      </c>
      <c r="L153" t="b">
        <v>0</v>
      </c>
      <c r="M153" t="b">
        <v>0</v>
      </c>
      <c r="N153" t="inlineStr">
        <is>
          <t>alt</t>
        </is>
      </c>
      <c r="O153" t="n">
        <v>-40</v>
      </c>
      <c r="P153" t="n">
        <v>0.00421</v>
      </c>
      <c r="Q153" t="n">
        <v>85</v>
      </c>
      <c r="R153" t="n">
        <v>0.01233</v>
      </c>
      <c r="S153">
        <f>IMAGE("https://mitra.stanford.edu/kundaje/oak/projects/neuro-variants/variant_position/credible/roussos_2024/variant_figures/roussos_2024.childhood.Astrocyte/rs4503305_count_position.png",4,220,900)</f>
        <v/>
      </c>
      <c r="T153">
        <f>IMAGE("https://mitra.stanford.edu/kundaje/oak/projects/neuro-variants/variant_position/credible/roussos_2024/variant_figures/roussos_2024.childhood.Astrocyte/rs4503305_profile_position.png",4,220,900)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0.04035761907</v>
      </c>
      <c r="G154" t="n">
        <v>0.2742934244035278</v>
      </c>
      <c r="H154" t="n">
        <v>0.0097724627557777</v>
      </c>
      <c r="I154" t="n">
        <v>0.7377169915758239</v>
      </c>
      <c r="J154" t="n">
        <v>0.1903147015944982</v>
      </c>
      <c r="K154" t="n">
        <v>0.2173862977434373</v>
      </c>
      <c r="L154" t="b">
        <v>0</v>
      </c>
      <c r="M154" t="b">
        <v>0</v>
      </c>
      <c r="N154" t="inlineStr">
        <is>
          <t>alt</t>
        </is>
      </c>
      <c r="O154" t="n">
        <v>-85</v>
      </c>
      <c r="P154" t="n">
        <v>0.002777</v>
      </c>
      <c r="Q154" t="n">
        <v>25</v>
      </c>
      <c r="R154" t="n">
        <v>0.0515</v>
      </c>
      <c r="S154">
        <f>IMAGE("https://mitra.stanford.edu/kundaje/oak/projects/neuro-variants/variant_position/credible/roussos_2024/variant_figures/roussos_2024.childhood.Astrocyte/rs4641264_count_position.png",4,220,900)</f>
        <v/>
      </c>
      <c r="T154">
        <f>IMAGE("https://mitra.stanford.edu/kundaje/oak/projects/neuro-variants/variant_position/credible/roussos_2024/variant_figures/roussos_2024.childhood.Astrocyte/rs4641264_profile_position.png",4,220,900)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-0.0662416141999999</v>
      </c>
      <c r="G155" t="n">
        <v>0.1564171556706922</v>
      </c>
      <c r="H155" t="n">
        <v>0.0173776739435364</v>
      </c>
      <c r="I155" t="n">
        <v>0.1975453894733964</v>
      </c>
      <c r="J155" t="n">
        <v>0.1637776403868318</v>
      </c>
      <c r="K155" t="n">
        <v>0.244899680756165</v>
      </c>
      <c r="L155" t="b">
        <v>0</v>
      </c>
      <c r="M155" t="b">
        <v>0</v>
      </c>
      <c r="N155" t="inlineStr">
        <is>
          <t>ref</t>
        </is>
      </c>
      <c r="O155" t="n">
        <v>-95</v>
      </c>
      <c r="P155" t="n">
        <v>0.003784</v>
      </c>
      <c r="Q155" t="n">
        <v>-45</v>
      </c>
      <c r="R155" t="n">
        <v>0.02832</v>
      </c>
      <c r="S155">
        <f>IMAGE("https://mitra.stanford.edu/kundaje/oak/projects/neuro-variants/variant_position/credible/roussos_2024/variant_figures/roussos_2024.childhood.Astrocyte/rs4578169_count_position.png",4,220,900)</f>
        <v/>
      </c>
      <c r="T155">
        <f>IMAGE("https://mitra.stanford.edu/kundaje/oak/projects/neuro-variants/variant_position/credible/roussos_2024/variant_figures/roussos_2024.childhood.Astrocyte/rs4578169_profile_position.png",4,220,900)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0.055871653</v>
      </c>
      <c r="G156" t="n">
        <v>0.1865992131165557</v>
      </c>
      <c r="H156" t="n">
        <v>0.0117478717298092</v>
      </c>
      <c r="I156" t="n">
        <v>0.5381939985129868</v>
      </c>
      <c r="J156" t="n">
        <v>0.1672643172814911</v>
      </c>
      <c r="K156" t="n">
        <v>0.2404139045002217</v>
      </c>
      <c r="L156" t="b">
        <v>0</v>
      </c>
      <c r="M156" t="b">
        <v>0</v>
      </c>
      <c r="N156" t="inlineStr">
        <is>
          <t>alt</t>
        </is>
      </c>
      <c r="O156" t="n">
        <v>-85</v>
      </c>
      <c r="P156" t="n">
        <v>0.002075</v>
      </c>
      <c r="Q156" t="n">
        <v>-95</v>
      </c>
      <c r="R156" t="n">
        <v>0.0654</v>
      </c>
      <c r="S156">
        <f>IMAGE("https://mitra.stanford.edu/kundaje/oak/projects/neuro-variants/variant_position/credible/roussos_2024/variant_figures/roussos_2024.childhood.Astrocyte/rs7514409_count_position.png",4,220,900)</f>
        <v/>
      </c>
      <c r="T156">
        <f>IMAGE("https://mitra.stanford.edu/kundaje/oak/projects/neuro-variants/variant_position/credible/roussos_2024/variant_figures/roussos_2024.childhood.Astrocyte/rs7514409_profile_position.png",4,220,900)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0.3741976419999999</v>
      </c>
      <c r="G157" t="n">
        <v>0.0030322297425903</v>
      </c>
      <c r="H157" t="n">
        <v>0.0553327773486378</v>
      </c>
      <c r="I157" t="n">
        <v>0.0033303086996195</v>
      </c>
      <c r="J157" t="n">
        <v>0.0329784067229969</v>
      </c>
      <c r="K157" t="n">
        <v>0.5192762460264849</v>
      </c>
      <c r="L157" t="b">
        <v>1</v>
      </c>
      <c r="M157" t="b">
        <v>1</v>
      </c>
      <c r="N157" t="inlineStr">
        <is>
          <t>alt</t>
        </is>
      </c>
      <c r="O157" t="n">
        <v>-75</v>
      </c>
      <c r="P157" t="n">
        <v>0.01668</v>
      </c>
      <c r="Q157" t="n">
        <v>-65</v>
      </c>
      <c r="R157" t="n">
        <v>0.1396</v>
      </c>
      <c r="S157">
        <f>IMAGE("https://mitra.stanford.edu/kundaje/oak/projects/neuro-variants/variant_position/credible/roussos_2024/variant_figures/roussos_2024.childhood.Astrocyte/rs4074990_count_position.png",4,220,900)</f>
        <v/>
      </c>
      <c r="T157">
        <f>IMAGE("https://mitra.stanford.edu/kundaje/oak/projects/neuro-variants/variant_position/credible/roussos_2024/variant_figures/roussos_2024.childhood.Astrocyte/rs4074990_profile_position.png",4,220,900)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0.30843524</v>
      </c>
      <c r="G158" t="n">
        <v>0.0050427921224979</v>
      </c>
      <c r="H158" t="n">
        <v>0.0412762401913148</v>
      </c>
      <c r="I158" t="n">
        <v>0.008717871811002399</v>
      </c>
      <c r="J158" t="n">
        <v>0.2778105989481959</v>
      </c>
      <c r="K158" t="n">
        <v>0.1451272141391389</v>
      </c>
      <c r="L158" t="b">
        <v>1</v>
      </c>
      <c r="M158" t="b">
        <v>1</v>
      </c>
      <c r="N158" t="inlineStr">
        <is>
          <t>alt</t>
        </is>
      </c>
      <c r="O158" t="n">
        <v>-100</v>
      </c>
      <c r="P158" t="n">
        <v>0.0114</v>
      </c>
      <c r="Q158" t="n">
        <v>-100</v>
      </c>
      <c r="R158" t="n">
        <v>0.228</v>
      </c>
      <c r="S158">
        <f>IMAGE("https://mitra.stanford.edu/kundaje/oak/projects/neuro-variants/variant_position/credible/roussos_2024/variant_figures/roussos_2024.childhood.Astrocyte/rs6424546_count_position.png",4,220,900)</f>
        <v/>
      </c>
      <c r="T158">
        <f>IMAGE("https://mitra.stanford.edu/kundaje/oak/projects/neuro-variants/variant_position/credible/roussos_2024/variant_figures/roussos_2024.childhood.Astrocyte/rs6424546_profile_position.png",4,220,900)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-0.0700351663999999</v>
      </c>
      <c r="G159" t="n">
        <v>0.1406956038604942</v>
      </c>
      <c r="H159" t="n">
        <v>0.0132103483845129</v>
      </c>
      <c r="I159" t="n">
        <v>0.4167956065124691</v>
      </c>
      <c r="J159" t="n">
        <v>0.004646103821758</v>
      </c>
      <c r="K159" t="n">
        <v>0.7966586903178404</v>
      </c>
      <c r="L159" t="b">
        <v>0</v>
      </c>
      <c r="M159" t="b">
        <v>0</v>
      </c>
      <c r="N159" t="inlineStr">
        <is>
          <t>ref</t>
        </is>
      </c>
      <c r="O159" t="n">
        <v>20</v>
      </c>
      <c r="P159" t="n">
        <v>0.003052</v>
      </c>
      <c r="Q159" t="n">
        <v>100</v>
      </c>
      <c r="R159" t="n">
        <v>0.04858</v>
      </c>
      <c r="S159">
        <f>IMAGE("https://mitra.stanford.edu/kundaje/oak/projects/neuro-variants/variant_position/credible/roussos_2024/variant_figures/roussos_2024.childhood.Astrocyte/rs11210207_count_position.png",4,220,900)</f>
        <v/>
      </c>
      <c r="T159">
        <f>IMAGE("https://mitra.stanford.edu/kundaje/oak/projects/neuro-variants/variant_position/credible/roussos_2024/variant_figures/roussos_2024.childhood.Astrocyte/rs11210207_profile_position.png",4,220,900)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-0.0754387712</v>
      </c>
      <c r="G160" t="n">
        <v>0.1149790722620248</v>
      </c>
      <c r="H160" t="n">
        <v>0.0286327030096114</v>
      </c>
      <c r="I160" t="n">
        <v>0.0362006281384807</v>
      </c>
      <c r="J160" t="n">
        <v>0.0040896704907146</v>
      </c>
      <c r="K160" t="n">
        <v>0.7986014798040928</v>
      </c>
      <c r="L160" t="b">
        <v>0</v>
      </c>
      <c r="M160" t="b">
        <v>0</v>
      </c>
      <c r="N160" t="inlineStr">
        <is>
          <t>ref</t>
        </is>
      </c>
      <c r="O160" t="n">
        <v>-85</v>
      </c>
      <c r="P160" t="n">
        <v>0.009254</v>
      </c>
      <c r="Q160" t="n">
        <v>-65</v>
      </c>
      <c r="R160" t="n">
        <v>0.1366</v>
      </c>
      <c r="S160">
        <f>IMAGE("https://mitra.stanford.edu/kundaje/oak/projects/neuro-variants/variant_position/credible/roussos_2024/variant_figures/roussos_2024.childhood.Astrocyte/rs7517355_count_position.png",4,220,900)</f>
        <v/>
      </c>
      <c r="T160">
        <f>IMAGE("https://mitra.stanford.edu/kundaje/oak/projects/neuro-variants/variant_position/credible/roussos_2024/variant_figures/roussos_2024.childhood.Astrocyte/rs7517355_profile_position.png",4,220,900)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0.00581095078</v>
      </c>
      <c r="G161" t="n">
        <v>0.7497136116273053</v>
      </c>
      <c r="H161" t="n">
        <v>0.0391520981653712</v>
      </c>
      <c r="I161" t="n">
        <v>0.0104641714960619</v>
      </c>
      <c r="J161" t="n">
        <v>0.0046270217459335</v>
      </c>
      <c r="K161" t="n">
        <v>0.7822424329578462</v>
      </c>
      <c r="L161" t="b">
        <v>0</v>
      </c>
      <c r="M161" t="b">
        <v>0</v>
      </c>
      <c r="N161" t="inlineStr">
        <is>
          <t>alt</t>
        </is>
      </c>
      <c r="O161" t="n">
        <v>-85</v>
      </c>
      <c r="P161" t="n">
        <v>0.008880000000000001</v>
      </c>
      <c r="Q161" t="n">
        <v>-100</v>
      </c>
      <c r="R161" t="n">
        <v>0.1488</v>
      </c>
      <c r="S161">
        <f>IMAGE("https://mitra.stanford.edu/kundaje/oak/projects/neuro-variants/variant_position/credible/roussos_2024/variant_figures/roussos_2024.childhood.Astrocyte/rs10732841_count_position.png",4,220,900)</f>
        <v/>
      </c>
      <c r="T161">
        <f>IMAGE("https://mitra.stanford.edu/kundaje/oak/projects/neuro-variants/variant_position/credible/roussos_2024/variant_figures/roussos_2024.childhood.Astrocyte/rs10732841_profile_position.png",4,220,900)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0.025366201168</v>
      </c>
      <c r="G162" t="n">
        <v>0.4239339911751879</v>
      </c>
      <c r="H162" t="n">
        <v>0.0102019938059822</v>
      </c>
      <c r="I162" t="n">
        <v>0.6520802546331016</v>
      </c>
      <c r="J162" t="n">
        <v>0.1569058032408997</v>
      </c>
      <c r="K162" t="n">
        <v>0.2531242650411987</v>
      </c>
      <c r="L162" t="b">
        <v>0</v>
      </c>
      <c r="M162" t="b">
        <v>0</v>
      </c>
      <c r="N162" t="inlineStr">
        <is>
          <t>alt</t>
        </is>
      </c>
      <c r="O162" t="n">
        <v>-100</v>
      </c>
      <c r="P162" t="n">
        <v>0.007526</v>
      </c>
      <c r="Q162" t="n">
        <v>-100</v>
      </c>
      <c r="R162" t="n">
        <v>0.1257</v>
      </c>
      <c r="S162">
        <f>IMAGE("https://mitra.stanford.edu/kundaje/oak/projects/neuro-variants/variant_position/credible/roussos_2024/variant_figures/roussos_2024.childhood.Astrocyte/rs1885247_count_position.png",4,220,900)</f>
        <v/>
      </c>
      <c r="T162">
        <f>IMAGE("https://mitra.stanford.edu/kundaje/oak/projects/neuro-variants/variant_position/credible/roussos_2024/variant_figures/roussos_2024.childhood.Astrocyte/rs1885247_profile_position.png",4,220,900)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-0.159815078</v>
      </c>
      <c r="G163" t="n">
        <v>0.0284083760582043</v>
      </c>
      <c r="H163" t="n">
        <v>0.030809077543941</v>
      </c>
      <c r="I163" t="n">
        <v>0.0275339795830287</v>
      </c>
      <c r="J163" t="n">
        <v>0.0419111080579789</v>
      </c>
      <c r="K163" t="n">
        <v>0.501534826935613</v>
      </c>
      <c r="L163" t="b">
        <v>0</v>
      </c>
      <c r="M163" t="b">
        <v>0</v>
      </c>
      <c r="N163" t="inlineStr">
        <is>
          <t>ref</t>
        </is>
      </c>
      <c r="O163" t="n">
        <v>-95</v>
      </c>
      <c r="P163" t="n">
        <v>0.006557</v>
      </c>
      <c r="Q163" t="n">
        <v>-95</v>
      </c>
      <c r="R163" t="n">
        <v>0.2015</v>
      </c>
      <c r="S163">
        <f>IMAGE("https://mitra.stanford.edu/kundaje/oak/projects/neuro-variants/variant_position/credible/roussos_2024/variant_figures/roussos_2024.childhood.Astrocyte/rs2208565_count_position.png",4,220,900)</f>
        <v/>
      </c>
      <c r="T163">
        <f>IMAGE("https://mitra.stanford.edu/kundaje/oak/projects/neuro-variants/variant_position/credible/roussos_2024/variant_figures/roussos_2024.childhood.Astrocyte/rs2208565_profile_position.png",4,220,900)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0.0458529914</v>
      </c>
      <c r="G164" t="n">
        <v>0.2371256518807781</v>
      </c>
      <c r="H164" t="n">
        <v>0.0093204818353685</v>
      </c>
      <c r="I164" t="n">
        <v>0.7723041646855877</v>
      </c>
      <c r="J164" t="n">
        <v>0.0007823651088059</v>
      </c>
      <c r="K164" t="n">
        <v>0.9263239303259636</v>
      </c>
      <c r="L164" t="b">
        <v>0</v>
      </c>
      <c r="M164" t="b">
        <v>0</v>
      </c>
      <c r="N164" t="inlineStr">
        <is>
          <t>alt</t>
        </is>
      </c>
      <c r="O164" t="n">
        <v>-65</v>
      </c>
      <c r="P164" t="n">
        <v>0.01332</v>
      </c>
      <c r="Q164" t="n">
        <v>-90</v>
      </c>
      <c r="R164" t="n">
        <v>0.099</v>
      </c>
      <c r="S164">
        <f>IMAGE("https://mitra.stanford.edu/kundaje/oak/projects/neuro-variants/variant_position/credible/roussos_2024/variant_figures/roussos_2024.childhood.Astrocyte/rs2340399_count_position.png",4,220,900)</f>
        <v/>
      </c>
      <c r="T164">
        <f>IMAGE("https://mitra.stanford.edu/kundaje/oak/projects/neuro-variants/variant_position/credible/roussos_2024/variant_figures/roussos_2024.childhood.Astrocyte/rs2340399_profile_position.png",4,220,900)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-0.1246507027999999</v>
      </c>
      <c r="G165" t="n">
        <v>0.0470175647412184</v>
      </c>
      <c r="H165" t="n">
        <v>0.0149615137524437</v>
      </c>
      <c r="I165" t="n">
        <v>0.3053189400982764</v>
      </c>
      <c r="J165" t="n">
        <v>0.0013800157236304</v>
      </c>
      <c r="K165" t="n">
        <v>0.8961835618970666</v>
      </c>
      <c r="L165" t="b">
        <v>0</v>
      </c>
      <c r="M165" t="b">
        <v>0</v>
      </c>
      <c r="N165" t="inlineStr">
        <is>
          <t>ref</t>
        </is>
      </c>
      <c r="O165" t="n">
        <v>-100</v>
      </c>
      <c r="P165" t="n">
        <v>0.0595</v>
      </c>
      <c r="Q165" t="n">
        <v>75</v>
      </c>
      <c r="R165" t="n">
        <v>0.06469999999999999</v>
      </c>
      <c r="S165">
        <f>IMAGE("https://mitra.stanford.edu/kundaje/oak/projects/neuro-variants/variant_position/credible/roussos_2024/variant_figures/roussos_2024.childhood.Astrocyte/rs10890034_count_position.png",4,220,900)</f>
        <v/>
      </c>
      <c r="T165">
        <f>IMAGE("https://mitra.stanford.edu/kundaje/oak/projects/neuro-variants/variant_position/credible/roussos_2024/variant_figures/roussos_2024.childhood.Astrocyte/rs10890034_profile_position.png",4,220,900)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0.0289535914</v>
      </c>
      <c r="G166" t="n">
        <v>0.1654387175262327</v>
      </c>
      <c r="H166" t="n">
        <v>0.0101472838776698</v>
      </c>
      <c r="I166" t="n">
        <v>0.6459157290928739</v>
      </c>
      <c r="J166" t="n">
        <v>0.0037187149366856</v>
      </c>
      <c r="K166" t="n">
        <v>0.8091446472987954</v>
      </c>
      <c r="L166" t="b">
        <v>0</v>
      </c>
      <c r="M166" t="b">
        <v>0</v>
      </c>
      <c r="N166" t="inlineStr">
        <is>
          <t>alt</t>
        </is>
      </c>
      <c r="O166" t="n">
        <v>-75</v>
      </c>
      <c r="P166" t="n">
        <v>0.001755</v>
      </c>
      <c r="Q166" t="n">
        <v>100</v>
      </c>
      <c r="R166" t="n">
        <v>0.1</v>
      </c>
      <c r="S166">
        <f>IMAGE("https://mitra.stanford.edu/kundaje/oak/projects/neuro-variants/variant_position/credible/roussos_2024/variant_figures/roussos_2024.childhood.Astrocyte/rs6689032_count_position.png",4,220,900)</f>
        <v/>
      </c>
      <c r="T166">
        <f>IMAGE("https://mitra.stanford.edu/kundaje/oak/projects/neuro-variants/variant_position/credible/roussos_2024/variant_figures/roussos_2024.childhood.Astrocyte/rs6689032_profile_position.png",4,220,900)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0.0138108366799999</v>
      </c>
      <c r="G167" t="n">
        <v>0.6253525686468787</v>
      </c>
      <c r="H167" t="n">
        <v>0.0248836011944734</v>
      </c>
      <c r="I167" t="n">
        <v>0.0606349019973501</v>
      </c>
      <c r="J167" t="n">
        <v>0.0056429514628319</v>
      </c>
      <c r="K167" t="n">
        <v>0.7739579948680895</v>
      </c>
      <c r="L167" t="b">
        <v>0</v>
      </c>
      <c r="M167" t="b">
        <v>0</v>
      </c>
      <c r="N167" t="inlineStr">
        <is>
          <t>alt</t>
        </is>
      </c>
      <c r="O167" t="n">
        <v>15</v>
      </c>
      <c r="P167" t="n">
        <v>0.01178</v>
      </c>
      <c r="Q167" t="n">
        <v>-35</v>
      </c>
      <c r="R167" t="n">
        <v>0.1653</v>
      </c>
      <c r="S167">
        <f>IMAGE("https://mitra.stanford.edu/kundaje/oak/projects/neuro-variants/variant_position/credible/roussos_2024/variant_figures/roussos_2024.childhood.Astrocyte/rs1923228_count_position.png",4,220,900)</f>
        <v/>
      </c>
      <c r="T167">
        <f>IMAGE("https://mitra.stanford.edu/kundaje/oak/projects/neuro-variants/variant_position/credible/roussos_2024/variant_figures/roussos_2024.childhood.Astrocyte/rs1923228_profile_position.png",4,220,900)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0.0090690146</v>
      </c>
      <c r="G168" t="n">
        <v>0.7469777219574367</v>
      </c>
      <c r="H168" t="n">
        <v>0.0217177449857016</v>
      </c>
      <c r="I168" t="n">
        <v>0.09659470532942969</v>
      </c>
      <c r="J168" t="n">
        <v>0.0012609435704853</v>
      </c>
      <c r="K168" t="n">
        <v>0.9057188640997328</v>
      </c>
      <c r="L168" t="b">
        <v>0</v>
      </c>
      <c r="M168" t="b">
        <v>0</v>
      </c>
      <c r="N168" t="inlineStr">
        <is>
          <t>alt</t>
        </is>
      </c>
      <c r="O168" t="n">
        <v>30</v>
      </c>
      <c r="P168" t="n">
        <v>0.003174</v>
      </c>
      <c r="Q168" t="n">
        <v>-70</v>
      </c>
      <c r="R168" t="n">
        <v>0.07184</v>
      </c>
      <c r="S168">
        <f>IMAGE("https://mitra.stanford.edu/kundaje/oak/projects/neuro-variants/variant_position/credible/roussos_2024/variant_figures/roussos_2024.childhood.Astrocyte/rs11210227_count_position.png",4,220,900)</f>
        <v/>
      </c>
      <c r="T168">
        <f>IMAGE("https://mitra.stanford.edu/kundaje/oak/projects/neuro-variants/variant_position/credible/roussos_2024/variant_figures/roussos_2024.childhood.Astrocyte/rs11210227_profile_position.png",4,220,900)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-0.0217120292</v>
      </c>
      <c r="G169" t="n">
        <v>0.5033007638052019</v>
      </c>
      <c r="H169" t="n">
        <v>0.0420411778243274</v>
      </c>
      <c r="I169" t="n">
        <v>0.0078696796170559</v>
      </c>
      <c r="J169" t="n">
        <v>0.0090716188469845</v>
      </c>
      <c r="K169" t="n">
        <v>0.7588802054105825</v>
      </c>
      <c r="L169" t="b">
        <v>0</v>
      </c>
      <c r="M169" t="b">
        <v>0</v>
      </c>
      <c r="N169" t="inlineStr">
        <is>
          <t>ref</t>
        </is>
      </c>
      <c r="O169" t="n">
        <v>-100</v>
      </c>
      <c r="P169" t="n">
        <v>0.02692</v>
      </c>
      <c r="Q169" t="n">
        <v>-50</v>
      </c>
      <c r="R169" t="n">
        <v>0.09760000000000001</v>
      </c>
      <c r="S169">
        <f>IMAGE("https://mitra.stanford.edu/kundaje/oak/projects/neuro-variants/variant_position/credible/roussos_2024/variant_figures/roussos_2024.childhood.Astrocyte/rs55994666_count_position.png",4,220,900)</f>
        <v/>
      </c>
      <c r="T169">
        <f>IMAGE("https://mitra.stanford.edu/kundaje/oak/projects/neuro-variants/variant_position/credible/roussos_2024/variant_figures/roussos_2024.childhood.Astrocyte/rs55994666_profile_position.png",4,220,900)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-0.00096421476</v>
      </c>
      <c r="G170" t="n">
        <v>0.9237331611925071</v>
      </c>
      <c r="H170" t="n">
        <v>0.0230710928902272</v>
      </c>
      <c r="I170" t="n">
        <v>0.0784200030621256</v>
      </c>
      <c r="J170" t="n">
        <v>0.0281048445574102</v>
      </c>
      <c r="K170" t="n">
        <v>0.5511399235288239</v>
      </c>
      <c r="L170" t="b">
        <v>0</v>
      </c>
      <c r="M170" t="b">
        <v>0</v>
      </c>
      <c r="N170" t="inlineStr">
        <is>
          <t>ref</t>
        </is>
      </c>
      <c r="O170" t="n">
        <v>-100</v>
      </c>
      <c r="P170" t="n">
        <v>0.00647</v>
      </c>
      <c r="Q170" t="n">
        <v>-100</v>
      </c>
      <c r="R170" t="n">
        <v>0.1302</v>
      </c>
      <c r="S170">
        <f>IMAGE("https://mitra.stanford.edu/kundaje/oak/projects/neuro-variants/variant_position/credible/roussos_2024/variant_figures/roussos_2024.childhood.Astrocyte/rs11210258_count_position.png",4,220,900)</f>
        <v/>
      </c>
      <c r="T170">
        <f>IMAGE("https://mitra.stanford.edu/kundaje/oak/projects/neuro-variants/variant_position/credible/roussos_2024/variant_figures/roussos_2024.childhood.Astrocyte/rs11210258_profile_position.png",4,220,900)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0.0023222519</v>
      </c>
      <c r="G171" t="n">
        <v>0.8692982886415763</v>
      </c>
      <c r="H171" t="n">
        <v>0.0235511434876152</v>
      </c>
      <c r="I171" t="n">
        <v>0.0726372999208772</v>
      </c>
      <c r="J171" t="n">
        <v>0.002549365330158</v>
      </c>
      <c r="K171" t="n">
        <v>0.8374604004619521</v>
      </c>
      <c r="L171" t="b">
        <v>0</v>
      </c>
      <c r="M171" t="b">
        <v>0</v>
      </c>
      <c r="N171" t="inlineStr">
        <is>
          <t>alt</t>
        </is>
      </c>
      <c r="O171" t="n">
        <v>-65</v>
      </c>
      <c r="P171" t="n">
        <v>0.006836</v>
      </c>
      <c r="Q171" t="n">
        <v>-100</v>
      </c>
      <c r="R171" t="n">
        <v>0.03613</v>
      </c>
      <c r="S171">
        <f>IMAGE("https://mitra.stanford.edu/kundaje/oak/projects/neuro-variants/variant_position/credible/roussos_2024/variant_figures/roussos_2024.childhood.Astrocyte/rs1546271_count_position.png",4,220,900)</f>
        <v/>
      </c>
      <c r="T171">
        <f>IMAGE("https://mitra.stanford.edu/kundaje/oak/projects/neuro-variants/variant_position/credible/roussos_2024/variant_figures/roussos_2024.childhood.Astrocyte/rs1546271_profile_position.png",4,220,900)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-0.168098832</v>
      </c>
      <c r="G172" t="n">
        <v>0.0243557941788157</v>
      </c>
      <c r="H172" t="n">
        <v>0.037709448335831</v>
      </c>
      <c r="I172" t="n">
        <v>0.0135961837694485</v>
      </c>
      <c r="J172" t="n">
        <v>0.1564867608557929</v>
      </c>
      <c r="K172" t="n">
        <v>0.2469849365940488</v>
      </c>
      <c r="L172" t="b">
        <v>1</v>
      </c>
      <c r="M172" t="b">
        <v>0</v>
      </c>
      <c r="N172" t="inlineStr">
        <is>
          <t>ref</t>
        </is>
      </c>
      <c r="O172" t="n">
        <v>-35</v>
      </c>
      <c r="P172" t="n">
        <v>0.00261</v>
      </c>
      <c r="Q172" t="n">
        <v>-50</v>
      </c>
      <c r="R172" t="n">
        <v>0.0381</v>
      </c>
      <c r="S172">
        <f>IMAGE("https://mitra.stanford.edu/kundaje/oak/projects/neuro-variants/variant_position/credible/roussos_2024/variant_figures/roussos_2024.childhood.Astrocyte/rs11210274_count_position.png",4,220,900)</f>
        <v/>
      </c>
      <c r="T172">
        <f>IMAGE("https://mitra.stanford.edu/kundaje/oak/projects/neuro-variants/variant_position/credible/roussos_2024/variant_figures/roussos_2024.childhood.Astrocyte/rs11210274_profile_position.png",4,220,900)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-0.0040239578934</v>
      </c>
      <c r="G173" t="n">
        <v>0.8270255499789692</v>
      </c>
      <c r="H173" t="n">
        <v>0.026688723014754</v>
      </c>
      <c r="I173" t="n">
        <v>0.0462492336037338</v>
      </c>
      <c r="J173" t="n">
        <v>0.0279773762909023</v>
      </c>
      <c r="K173" t="n">
        <v>0.5446957483701867</v>
      </c>
      <c r="L173" t="b">
        <v>0</v>
      </c>
      <c r="M173" t="b">
        <v>0</v>
      </c>
      <c r="N173" t="inlineStr">
        <is>
          <t>ref</t>
        </is>
      </c>
      <c r="O173" t="n">
        <v>-100</v>
      </c>
      <c r="P173" t="n">
        <v>0.08400000000000001</v>
      </c>
      <c r="Q173" t="n">
        <v>-100</v>
      </c>
      <c r="R173" t="n">
        <v>0.009766</v>
      </c>
      <c r="S173">
        <f>IMAGE("https://mitra.stanford.edu/kundaje/oak/projects/neuro-variants/variant_position/credible/roussos_2024/variant_figures/roussos_2024.childhood.Astrocyte/rs12042444_count_position.png",4,220,900)</f>
        <v/>
      </c>
      <c r="T173">
        <f>IMAGE("https://mitra.stanford.edu/kundaje/oak/projects/neuro-variants/variant_position/credible/roussos_2024/variant_figures/roussos_2024.childhood.Astrocyte/rs12042444_profile_position.png",4,220,900)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0.08808745279999999</v>
      </c>
      <c r="G174" t="n">
        <v>0.08850379500805799</v>
      </c>
      <c r="H174" t="n">
        <v>0.0123877758103994</v>
      </c>
      <c r="I174" t="n">
        <v>0.4789615318184436</v>
      </c>
      <c r="J174" t="n">
        <v>0.0192736598658148</v>
      </c>
      <c r="K174" t="n">
        <v>0.6011887656618524</v>
      </c>
      <c r="L174" t="b">
        <v>0</v>
      </c>
      <c r="M174" t="b">
        <v>0</v>
      </c>
      <c r="N174" t="inlineStr">
        <is>
          <t>alt</t>
        </is>
      </c>
      <c r="O174" t="n">
        <v>-60</v>
      </c>
      <c r="P174" t="n">
        <v>0.01248</v>
      </c>
      <c r="Q174" t="n">
        <v>-60</v>
      </c>
      <c r="R174" t="n">
        <v>0.2764</v>
      </c>
      <c r="S174">
        <f>IMAGE("https://mitra.stanford.edu/kundaje/oak/projects/neuro-variants/variant_position/credible/roussos_2024/variant_figures/roussos_2024.childhood.Astrocyte/rs5006353_count_position.png",4,220,900)</f>
        <v/>
      </c>
      <c r="T174">
        <f>IMAGE("https://mitra.stanford.edu/kundaje/oak/projects/neuro-variants/variant_position/credible/roussos_2024/variant_figures/roussos_2024.childhood.Astrocyte/rs5006353_profile_position.png",4,220,900)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-0.01273065866</v>
      </c>
      <c r="G175" t="n">
        <v>0.6859555706282274</v>
      </c>
      <c r="H175" t="n">
        <v>0.0289265993258291</v>
      </c>
      <c r="I175" t="n">
        <v>0.0343184079315604</v>
      </c>
      <c r="J175" t="n">
        <v>0.0514605420836099</v>
      </c>
      <c r="K175" t="n">
        <v>0.4401073141799446</v>
      </c>
      <c r="L175" t="b">
        <v>0</v>
      </c>
      <c r="M175" t="b">
        <v>0</v>
      </c>
      <c r="N175" t="inlineStr">
        <is>
          <t>ref</t>
        </is>
      </c>
      <c r="O175" t="n">
        <v>95</v>
      </c>
      <c r="P175" t="n">
        <v>0.01388</v>
      </c>
      <c r="Q175" t="n">
        <v>100</v>
      </c>
      <c r="R175" t="n">
        <v>0.2246</v>
      </c>
      <c r="S175">
        <f>IMAGE("https://mitra.stanford.edu/kundaje/oak/projects/neuro-variants/variant_position/credible/roussos_2024/variant_figures/roussos_2024.childhood.Astrocyte/rs17577938_count_position.png",4,220,900)</f>
        <v/>
      </c>
      <c r="T175">
        <f>IMAGE("https://mitra.stanford.edu/kundaje/oak/projects/neuro-variants/variant_position/credible/roussos_2024/variant_figures/roussos_2024.childhood.Astrocyte/rs17577938_profile_position.png",4,220,900)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-0.05440756</v>
      </c>
      <c r="G176" t="n">
        <v>0.1938943400568186</v>
      </c>
      <c r="H176" t="n">
        <v>0.0104451573753532</v>
      </c>
      <c r="I176" t="n">
        <v>0.6597617021323076</v>
      </c>
      <c r="J176" t="n">
        <v>0.0101524276216863</v>
      </c>
      <c r="K176" t="n">
        <v>0.6890839019328652</v>
      </c>
      <c r="L176" t="b">
        <v>0</v>
      </c>
      <c r="M176" t="b">
        <v>0</v>
      </c>
      <c r="N176" t="inlineStr">
        <is>
          <t>ref</t>
        </is>
      </c>
      <c r="O176" t="n">
        <v>-30</v>
      </c>
      <c r="P176" t="n">
        <v>0.004436</v>
      </c>
      <c r="Q176" t="n">
        <v>85</v>
      </c>
      <c r="R176" t="n">
        <v>0.1361</v>
      </c>
      <c r="S176">
        <f>IMAGE("https://mitra.stanford.edu/kundaje/oak/projects/neuro-variants/variant_position/credible/roussos_2024/variant_figures/roussos_2024.childhood.Astrocyte/rs761406_count_position.png",4,220,900)</f>
        <v/>
      </c>
      <c r="T176">
        <f>IMAGE("https://mitra.stanford.edu/kundaje/oak/projects/neuro-variants/variant_position/credible/roussos_2024/variant_figures/roussos_2024.childhood.Astrocyte/rs761406_profile_position.png",4,220,900)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0.28861817</v>
      </c>
      <c r="G177" t="n">
        <v>0.0070523323078115</v>
      </c>
      <c r="H177" t="n">
        <v>0.0290520044237572</v>
      </c>
      <c r="I177" t="n">
        <v>0.0344763582972763</v>
      </c>
      <c r="J177" t="n">
        <v>0.0968919114896994</v>
      </c>
      <c r="K177" t="n">
        <v>0.3344802921884706</v>
      </c>
      <c r="L177" t="b">
        <v>1</v>
      </c>
      <c r="M177" t="b">
        <v>1</v>
      </c>
      <c r="N177" t="inlineStr">
        <is>
          <t>alt</t>
        </is>
      </c>
      <c r="O177" t="n">
        <v>-5</v>
      </c>
      <c r="P177" t="n">
        <v>0.00116</v>
      </c>
      <c r="Q177" t="n">
        <v>85</v>
      </c>
      <c r="R177" t="n">
        <v>0.0707</v>
      </c>
      <c r="S177">
        <f>IMAGE("https://mitra.stanford.edu/kundaje/oak/projects/neuro-variants/variant_position/credible/roussos_2024/variant_figures/roussos_2024.childhood.Astrocyte/rs12756558_count_position.png",4,220,900)</f>
        <v/>
      </c>
      <c r="T177">
        <f>IMAGE("https://mitra.stanford.edu/kundaje/oak/projects/neuro-variants/variant_position/credible/roussos_2024/variant_figures/roussos_2024.childhood.Astrocyte/rs12756558_profile_position.png",4,220,900)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0.0577618136</v>
      </c>
      <c r="G178" t="n">
        <v>0.1726072631903808</v>
      </c>
      <c r="H178" t="n">
        <v>0.0154464621900183</v>
      </c>
      <c r="I178" t="n">
        <v>0.2743409319623711</v>
      </c>
      <c r="J178" t="n">
        <v>0.0181966675062779</v>
      </c>
      <c r="K178" t="n">
        <v>0.6065415160045776</v>
      </c>
      <c r="L178" t="b">
        <v>0</v>
      </c>
      <c r="M178" t="b">
        <v>0</v>
      </c>
      <c r="N178" t="inlineStr">
        <is>
          <t>alt</t>
        </is>
      </c>
      <c r="O178" t="n">
        <v>50</v>
      </c>
      <c r="P178" t="n">
        <v>0.00393</v>
      </c>
      <c r="Q178" t="n">
        <v>50</v>
      </c>
      <c r="R178" t="n">
        <v>0.1184</v>
      </c>
      <c r="S178">
        <f>IMAGE("https://mitra.stanford.edu/kundaje/oak/projects/neuro-variants/variant_position/credible/roussos_2024/variant_figures/roussos_2024.childhood.Astrocyte/rs12071951_count_position.png",4,220,900)</f>
        <v/>
      </c>
      <c r="T178">
        <f>IMAGE("https://mitra.stanford.edu/kundaje/oak/projects/neuro-variants/variant_position/credible/roussos_2024/variant_figures/roussos_2024.childhood.Astrocyte/rs12071951_profile_position.png",4,220,900)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-0.0178478758999999</v>
      </c>
      <c r="G179" t="n">
        <v>0.5720876190197536</v>
      </c>
      <c r="H179" t="n">
        <v>0.0108618556872443</v>
      </c>
      <c r="I179" t="n">
        <v>0.6215864484324025</v>
      </c>
      <c r="J179" t="n">
        <v>0.0027348431071725</v>
      </c>
      <c r="K179" t="n">
        <v>0.8342104770949733</v>
      </c>
      <c r="L179" t="b">
        <v>0</v>
      </c>
      <c r="M179" t="b">
        <v>0</v>
      </c>
      <c r="N179" t="inlineStr">
        <is>
          <t>ref</t>
        </is>
      </c>
      <c r="O179" t="n">
        <v>-75</v>
      </c>
      <c r="P179" t="n">
        <v>0.00599</v>
      </c>
      <c r="Q179" t="n">
        <v>-75</v>
      </c>
      <c r="R179" t="n">
        <v>0.1282</v>
      </c>
      <c r="S179">
        <f>IMAGE("https://mitra.stanford.edu/kundaje/oak/projects/neuro-variants/variant_position/credible/roussos_2024/variant_figures/roussos_2024.childhood.Astrocyte/rs7528506_count_position.png",4,220,900)</f>
        <v/>
      </c>
      <c r="T179">
        <f>IMAGE("https://mitra.stanford.edu/kundaje/oak/projects/neuro-variants/variant_position/credible/roussos_2024/variant_figures/roussos_2024.childhood.Astrocyte/rs7528506_profile_position.png",4,220,900)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-0.0834229544</v>
      </c>
      <c r="G180" t="n">
        <v>0.1087860821211446</v>
      </c>
      <c r="H180" t="n">
        <v>0.0261623886053446</v>
      </c>
      <c r="I180" t="n">
        <v>0.0510313094586874</v>
      </c>
      <c r="J180" t="n">
        <v>0.0089639959393342</v>
      </c>
      <c r="K180" t="n">
        <v>0.7046846412561869</v>
      </c>
      <c r="L180" t="b">
        <v>0</v>
      </c>
      <c r="M180" t="b">
        <v>0</v>
      </c>
      <c r="N180" t="inlineStr">
        <is>
          <t>ref</t>
        </is>
      </c>
      <c r="O180" t="n">
        <v>15</v>
      </c>
      <c r="P180" t="n">
        <v>0.004272</v>
      </c>
      <c r="Q180" t="n">
        <v>30</v>
      </c>
      <c r="R180" t="n">
        <v>0.0883</v>
      </c>
      <c r="S180">
        <f>IMAGE("https://mitra.stanford.edu/kundaje/oak/projects/neuro-variants/variant_position/credible/roussos_2024/variant_figures/roussos_2024.childhood.Astrocyte/rs59012322_count_position.png",4,220,900)</f>
        <v/>
      </c>
      <c r="T180">
        <f>IMAGE("https://mitra.stanford.edu/kundaje/oak/projects/neuro-variants/variant_position/credible/roussos_2024/variant_figures/roussos_2024.childhood.Astrocyte/rs59012322_profile_position.png",4,220,900)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0.00027086342</v>
      </c>
      <c r="G181" t="n">
        <v>0.8071569132553491</v>
      </c>
      <c r="H181" t="n">
        <v>0.0116264227402172</v>
      </c>
      <c r="I181" t="n">
        <v>0.5448839476019646</v>
      </c>
      <c r="J181" t="n">
        <v>0.0032660880981276</v>
      </c>
      <c r="K181" t="n">
        <v>0.8280012023567854</v>
      </c>
      <c r="L181" t="b">
        <v>0</v>
      </c>
      <c r="M181" t="b">
        <v>0</v>
      </c>
      <c r="N181" t="inlineStr">
        <is>
          <t>alt</t>
        </is>
      </c>
      <c r="O181" t="n">
        <v>95</v>
      </c>
      <c r="P181" t="n">
        <v>0.002434</v>
      </c>
      <c r="Q181" t="n">
        <v>-85</v>
      </c>
      <c r="R181" t="n">
        <v>0.042</v>
      </c>
      <c r="S181">
        <f>IMAGE("https://mitra.stanford.edu/kundaje/oak/projects/neuro-variants/variant_position/credible/roussos_2024/variant_figures/roussos_2024.childhood.Astrocyte/rs6659919_count_position.png",4,220,900)</f>
        <v/>
      </c>
      <c r="T181">
        <f>IMAGE("https://mitra.stanford.edu/kundaje/oak/projects/neuro-variants/variant_position/credible/roussos_2024/variant_figures/roussos_2024.childhood.Astrocyte/rs6659919_profile_position.png",4,220,900)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0.0064033749799999</v>
      </c>
      <c r="G182" t="n">
        <v>0.7539697480844021</v>
      </c>
      <c r="H182" t="n">
        <v>0.012263655706265</v>
      </c>
      <c r="I182" t="n">
        <v>0.4917891486145482</v>
      </c>
      <c r="J182" t="n">
        <v>0.0003740086861608</v>
      </c>
      <c r="K182" t="n">
        <v>0.95242993400605</v>
      </c>
      <c r="L182" t="b">
        <v>0</v>
      </c>
      <c r="M182" t="b">
        <v>0</v>
      </c>
      <c r="N182" t="inlineStr">
        <is>
          <t>alt</t>
        </is>
      </c>
      <c r="O182" t="n">
        <v>-30</v>
      </c>
      <c r="P182" t="n">
        <v>0.002167</v>
      </c>
      <c r="Q182" t="n">
        <v>-85</v>
      </c>
      <c r="R182" t="n">
        <v>0.05136</v>
      </c>
      <c r="S182">
        <f>IMAGE("https://mitra.stanford.edu/kundaje/oak/projects/neuro-variants/variant_position/credible/roussos_2024/variant_figures/roussos_2024.childhood.Astrocyte/rs12042074_count_position.png",4,220,900)</f>
        <v/>
      </c>
      <c r="T182">
        <f>IMAGE("https://mitra.stanford.edu/kundaje/oak/projects/neuro-variants/variant_position/credible/roussos_2024/variant_figures/roussos_2024.childhood.Astrocyte/rs12042074_profile_position.png",4,220,900)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0.0651271234</v>
      </c>
      <c r="G183" t="n">
        <v>0.1426068830436213</v>
      </c>
      <c r="H183" t="n">
        <v>0.0180041824919037</v>
      </c>
      <c r="I183" t="n">
        <v>0.1785491734993924</v>
      </c>
      <c r="J183" t="n">
        <v>0.0053177928907817</v>
      </c>
      <c r="K183" t="n">
        <v>0.7652176901002762</v>
      </c>
      <c r="L183" t="b">
        <v>0</v>
      </c>
      <c r="M183" t="b">
        <v>0</v>
      </c>
      <c r="N183" t="inlineStr">
        <is>
          <t>alt</t>
        </is>
      </c>
      <c r="O183" t="n">
        <v>90</v>
      </c>
      <c r="P183" t="n">
        <v>0.01779</v>
      </c>
      <c r="Q183" t="n">
        <v>90</v>
      </c>
      <c r="R183" t="n">
        <v>0.074</v>
      </c>
      <c r="S183">
        <f>IMAGE("https://mitra.stanford.edu/kundaje/oak/projects/neuro-variants/variant_position/credible/roussos_2024/variant_figures/roussos_2024.childhood.Astrocyte/rs6688086_count_position.png",4,220,900)</f>
        <v/>
      </c>
      <c r="T183">
        <f>IMAGE("https://mitra.stanford.edu/kundaje/oak/projects/neuro-variants/variant_position/credible/roussos_2024/variant_figures/roussos_2024.childhood.Astrocyte/rs6688086_profile_position.png",4,220,900)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-0.1061093808</v>
      </c>
      <c r="G184" t="n">
        <v>0.0683068143139875</v>
      </c>
      <c r="H184" t="n">
        <v>0.0124691941525129</v>
      </c>
      <c r="I184" t="n">
        <v>0.4718117189848262</v>
      </c>
      <c r="J184" t="n">
        <v>0.0808156442490439</v>
      </c>
      <c r="K184" t="n">
        <v>0.3713407158839767</v>
      </c>
      <c r="L184" t="b">
        <v>0</v>
      </c>
      <c r="M184" t="b">
        <v>0</v>
      </c>
      <c r="N184" t="inlineStr">
        <is>
          <t>ref</t>
        </is>
      </c>
      <c r="O184" t="n">
        <v>100</v>
      </c>
      <c r="P184" t="n">
        <v>0.0572</v>
      </c>
      <c r="Q184" t="n">
        <v>100</v>
      </c>
      <c r="R184" t="n">
        <v>0.001099</v>
      </c>
      <c r="S184">
        <f>IMAGE("https://mitra.stanford.edu/kundaje/oak/projects/neuro-variants/variant_position/credible/roussos_2024/variant_figures/roussos_2024.childhood.Astrocyte/rs12027165_count_position.png",4,220,900)</f>
        <v/>
      </c>
      <c r="T184">
        <f>IMAGE("https://mitra.stanford.edu/kundaje/oak/projects/neuro-variants/variant_position/credible/roussos_2024/variant_figures/roussos_2024.childhood.Astrocyte/rs12027165_profile_position.png",4,220,900)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0.0634202606</v>
      </c>
      <c r="G185" t="n">
        <v>0.1507727584268134</v>
      </c>
      <c r="H185" t="n">
        <v>0.0120195021311971</v>
      </c>
      <c r="I185" t="n">
        <v>0.5193303760484421</v>
      </c>
      <c r="J185" t="n">
        <v>0.0162663247158678</v>
      </c>
      <c r="K185" t="n">
        <v>0.6260982946459918</v>
      </c>
      <c r="L185" t="b">
        <v>0</v>
      </c>
      <c r="M185" t="b">
        <v>0</v>
      </c>
      <c r="N185" t="inlineStr">
        <is>
          <t>alt</t>
        </is>
      </c>
      <c r="O185" t="n">
        <v>95</v>
      </c>
      <c r="P185" t="n">
        <v>0.009285</v>
      </c>
      <c r="Q185" t="n">
        <v>-20</v>
      </c>
      <c r="R185" t="n">
        <v>0.073</v>
      </c>
      <c r="S185">
        <f>IMAGE("https://mitra.stanford.edu/kundaje/oak/projects/neuro-variants/variant_position/credible/roussos_2024/variant_figures/roussos_2024.childhood.Astrocyte/rs1496116_count_position.png",4,220,900)</f>
        <v/>
      </c>
      <c r="T185">
        <f>IMAGE("https://mitra.stanford.edu/kundaje/oak/projects/neuro-variants/variant_position/credible/roussos_2024/variant_figures/roussos_2024.childhood.Astrocyte/rs1496116_profile_position.png",4,220,900)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0.0425163626</v>
      </c>
      <c r="G186" t="n">
        <v>0.2695304718316998</v>
      </c>
      <c r="H186" t="n">
        <v>0.0103963757708181</v>
      </c>
      <c r="I186" t="n">
        <v>0.6725395503026403</v>
      </c>
      <c r="J186" t="n">
        <v>0.06417912726218</v>
      </c>
      <c r="K186" t="n">
        <v>0.4218242300545111</v>
      </c>
      <c r="L186" t="b">
        <v>0</v>
      </c>
      <c r="M186" t="b">
        <v>0</v>
      </c>
      <c r="N186" t="inlineStr">
        <is>
          <t>alt</t>
        </is>
      </c>
      <c r="O186" t="n">
        <v>90</v>
      </c>
      <c r="P186" t="n">
        <v>0.00585</v>
      </c>
      <c r="Q186" t="n">
        <v>-45</v>
      </c>
      <c r="R186" t="n">
        <v>0.06444999999999999</v>
      </c>
      <c r="S186">
        <f>IMAGE("https://mitra.stanford.edu/kundaje/oak/projects/neuro-variants/variant_position/credible/roussos_2024/variant_figures/roussos_2024.childhood.Astrocyte/rs12031518_count_position.png",4,220,900)</f>
        <v/>
      </c>
      <c r="T186">
        <f>IMAGE("https://mitra.stanford.edu/kundaje/oak/projects/neuro-variants/variant_position/credible/roussos_2024/variant_figures/roussos_2024.childhood.Astrocyte/rs12031518_profile_position.png",4,220,900)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-0.000745935872</v>
      </c>
      <c r="G187" t="n">
        <v>0.9431893431283884</v>
      </c>
      <c r="H187" t="n">
        <v>0.0283329913977425</v>
      </c>
      <c r="I187" t="n">
        <v>0.0368817233636509</v>
      </c>
      <c r="J187" t="n">
        <v>0.0151725401296054</v>
      </c>
      <c r="K187" t="n">
        <v>0.6318701591992066</v>
      </c>
      <c r="L187" t="b">
        <v>0</v>
      </c>
      <c r="M187" t="b">
        <v>0</v>
      </c>
      <c r="N187" t="inlineStr">
        <is>
          <t>ref</t>
        </is>
      </c>
      <c r="O187" t="n">
        <v>65</v>
      </c>
      <c r="P187" t="n">
        <v>0.00328</v>
      </c>
      <c r="Q187" t="n">
        <v>-100</v>
      </c>
      <c r="R187" t="n">
        <v>0.2019</v>
      </c>
      <c r="S187">
        <f>IMAGE("https://mitra.stanford.edu/kundaje/oak/projects/neuro-variants/variant_position/credible/roussos_2024/variant_figures/roussos_2024.childhood.Astrocyte/rs2132427_count_position.png",4,220,900)</f>
        <v/>
      </c>
      <c r="T187">
        <f>IMAGE("https://mitra.stanford.edu/kundaje/oak/projects/neuro-variants/variant_position/credible/roussos_2024/variant_figures/roussos_2024.childhood.Astrocyte/rs2132427_profile_position.png",4,220,900)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-0.0212950935</v>
      </c>
      <c r="G188" t="n">
        <v>0.5163571230386387</v>
      </c>
      <c r="H188" t="n">
        <v>0.0134396694248511</v>
      </c>
      <c r="I188" t="n">
        <v>0.4001007322612356</v>
      </c>
      <c r="J188" t="n">
        <v>0.0031424362467846</v>
      </c>
      <c r="K188" t="n">
        <v>0.8205350014744387</v>
      </c>
      <c r="L188" t="b">
        <v>0</v>
      </c>
      <c r="M188" t="b">
        <v>0</v>
      </c>
      <c r="N188" t="inlineStr">
        <is>
          <t>ref</t>
        </is>
      </c>
      <c r="O188" t="n">
        <v>100</v>
      </c>
      <c r="P188" t="n">
        <v>0.04526</v>
      </c>
      <c r="Q188" t="n">
        <v>85</v>
      </c>
      <c r="R188" t="n">
        <v>0.1096</v>
      </c>
      <c r="S188">
        <f>IMAGE("https://mitra.stanford.edu/kundaje/oak/projects/neuro-variants/variant_position/credible/roussos_2024/variant_figures/roussos_2024.childhood.Astrocyte/rs10875035_count_position.png",4,220,900)</f>
        <v/>
      </c>
      <c r="T188">
        <f>IMAGE("https://mitra.stanford.edu/kundaje/oak/projects/neuro-variants/variant_position/credible/roussos_2024/variant_figures/roussos_2024.childhood.Astrocyte/rs10875035_profile_position.png",4,220,900)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0.0320194163399999</v>
      </c>
      <c r="G189" t="n">
        <v>0.279573603211637</v>
      </c>
      <c r="H189" t="n">
        <v>0.0264984349876627</v>
      </c>
      <c r="I189" t="n">
        <v>0.0496480896693383</v>
      </c>
      <c r="J189" t="n">
        <v>0.0538091639760939</v>
      </c>
      <c r="K189" t="n">
        <v>0.4356219414902957</v>
      </c>
      <c r="L189" t="b">
        <v>0</v>
      </c>
      <c r="M189" t="b">
        <v>0</v>
      </c>
      <c r="N189" t="inlineStr">
        <is>
          <t>alt</t>
        </is>
      </c>
      <c r="O189" t="n">
        <v>95</v>
      </c>
      <c r="P189" t="n">
        <v>0.004295</v>
      </c>
      <c r="Q189" t="n">
        <v>45</v>
      </c>
      <c r="R189" t="n">
        <v>0.06555</v>
      </c>
      <c r="S189">
        <f>IMAGE("https://mitra.stanford.edu/kundaje/oak/projects/neuro-variants/variant_position/credible/roussos_2024/variant_figures/roussos_2024.childhood.Astrocyte/rs12407539_count_position.png",4,220,900)</f>
        <v/>
      </c>
      <c r="T189">
        <f>IMAGE("https://mitra.stanford.edu/kundaje/oak/projects/neuro-variants/variant_position/credible/roussos_2024/variant_figures/roussos_2024.childhood.Astrocyte/rs12407539_profile_position.png",4,220,900)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0.04930991774</v>
      </c>
      <c r="G190" t="n">
        <v>0.223785100013006</v>
      </c>
      <c r="H190" t="n">
        <v>0.0194588589221405</v>
      </c>
      <c r="I190" t="n">
        <v>0.1395560593541538</v>
      </c>
      <c r="J190" t="n">
        <v>0.0199758802561577</v>
      </c>
      <c r="K190" t="n">
        <v>0.5971963152431645</v>
      </c>
      <c r="L190" t="b">
        <v>0</v>
      </c>
      <c r="M190" t="b">
        <v>0</v>
      </c>
      <c r="N190" t="inlineStr">
        <is>
          <t>alt</t>
        </is>
      </c>
      <c r="O190" t="n">
        <v>55</v>
      </c>
      <c r="P190" t="n">
        <v>0.005867</v>
      </c>
      <c r="Q190" t="n">
        <v>80</v>
      </c>
      <c r="R190" t="n">
        <v>0.07489999999999999</v>
      </c>
      <c r="S190">
        <f>IMAGE("https://mitra.stanford.edu/kundaje/oak/projects/neuro-variants/variant_position/credible/roussos_2024/variant_figures/roussos_2024.childhood.Astrocyte/rs36025579_count_position.png",4,220,900)</f>
        <v/>
      </c>
      <c r="T190">
        <f>IMAGE("https://mitra.stanford.edu/kundaje/oak/projects/neuro-variants/variant_position/credible/roussos_2024/variant_figures/roussos_2024.childhood.Astrocyte/rs36025579_profile_position.png",4,220,900)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0.0667682258</v>
      </c>
      <c r="G191" t="n">
        <v>0.1532337667211652</v>
      </c>
      <c r="H191" t="n">
        <v>0.0146155667820199</v>
      </c>
      <c r="I191" t="n">
        <v>0.3195101293874048</v>
      </c>
      <c r="J191" t="n">
        <v>0.0016540343324707</v>
      </c>
      <c r="K191" t="n">
        <v>0.8785897350861377</v>
      </c>
      <c r="L191" t="b">
        <v>0</v>
      </c>
      <c r="M191" t="b">
        <v>0</v>
      </c>
      <c r="N191" t="inlineStr">
        <is>
          <t>alt</t>
        </is>
      </c>
      <c r="O191" t="n">
        <v>100</v>
      </c>
      <c r="P191" t="n">
        <v>0.00206</v>
      </c>
      <c r="Q191" t="n">
        <v>90</v>
      </c>
      <c r="R191" t="n">
        <v>0.133</v>
      </c>
      <c r="S191">
        <f>IMAGE("https://mitra.stanford.edu/kundaje/oak/projects/neuro-variants/variant_position/credible/roussos_2024/variant_figures/roussos_2024.childhood.Astrocyte/rs10875073_count_position.png",4,220,900)</f>
        <v/>
      </c>
      <c r="T191">
        <f>IMAGE("https://mitra.stanford.edu/kundaje/oak/projects/neuro-variants/variant_position/credible/roussos_2024/variant_figures/roussos_2024.childhood.Astrocyte/rs10875073_profile_position.png",4,220,900)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-0.01344300544</v>
      </c>
      <c r="G192" t="n">
        <v>0.6268308969356788</v>
      </c>
      <c r="H192" t="n">
        <v>0.0106626426138293</v>
      </c>
      <c r="I192" t="n">
        <v>0.6336430339073041</v>
      </c>
      <c r="J192" t="n">
        <v>0.0035301840275391</v>
      </c>
      <c r="K192" t="n">
        <v>0.8098273603846775</v>
      </c>
      <c r="L192" t="b">
        <v>0</v>
      </c>
      <c r="M192" t="b">
        <v>0</v>
      </c>
      <c r="N192" t="inlineStr">
        <is>
          <t>ref</t>
        </is>
      </c>
      <c r="O192" t="n">
        <v>-20</v>
      </c>
      <c r="P192" t="n">
        <v>0.000618</v>
      </c>
      <c r="Q192" t="n">
        <v>-100</v>
      </c>
      <c r="R192" t="n">
        <v>0.1096</v>
      </c>
      <c r="S192">
        <f>IMAGE("https://mitra.stanford.edu/kundaje/oak/projects/neuro-variants/variant_position/credible/roussos_2024/variant_figures/roussos_2024.childhood.Astrocyte/rs72728414_count_position.png",4,220,900)</f>
        <v/>
      </c>
      <c r="T192">
        <f>IMAGE("https://mitra.stanford.edu/kundaje/oak/projects/neuro-variants/variant_position/credible/roussos_2024/variant_figures/roussos_2024.childhood.Astrocyte/rs72728414_profile_position.png",4,220,900)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-0.0265864035999999</v>
      </c>
      <c r="G193" t="n">
        <v>0.4389774962768969</v>
      </c>
      <c r="H193" t="n">
        <v>0.0106745125882587</v>
      </c>
      <c r="I193" t="n">
        <v>0.6150282116359646</v>
      </c>
      <c r="J193" t="n">
        <v>0.06653232885286189</v>
      </c>
      <c r="K193" t="n">
        <v>0.4013662298282298</v>
      </c>
      <c r="L193" t="b">
        <v>0</v>
      </c>
      <c r="M193" t="b">
        <v>0</v>
      </c>
      <c r="N193" t="inlineStr">
        <is>
          <t>ref</t>
        </is>
      </c>
      <c r="O193" t="n">
        <v>-55</v>
      </c>
      <c r="P193" t="n">
        <v>0.001286</v>
      </c>
      <c r="Q193" t="n">
        <v>-85</v>
      </c>
      <c r="R193" t="n">
        <v>0.05603</v>
      </c>
      <c r="S193">
        <f>IMAGE("https://mitra.stanford.edu/kundaje/oak/projects/neuro-variants/variant_position/credible/roussos_2024/variant_figures/roussos_2024.childhood.Astrocyte/rs74105186_count_position.png",4,220,900)</f>
        <v/>
      </c>
      <c r="T193">
        <f>IMAGE("https://mitra.stanford.edu/kundaje/oak/projects/neuro-variants/variant_position/credible/roussos_2024/variant_figures/roussos_2024.childhood.Astrocyte/rs74105186_profile_position.png",4,220,900)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-0.043655714</v>
      </c>
      <c r="G194" t="n">
        <v>0.2727184063818324</v>
      </c>
      <c r="H194" t="n">
        <v>0.0076433314720837</v>
      </c>
      <c r="I194" t="n">
        <v>0.9247849645589636</v>
      </c>
      <c r="J194" t="n">
        <v>0.1602650118690511</v>
      </c>
      <c r="K194" t="n">
        <v>0.2412389415337341</v>
      </c>
      <c r="L194" t="b">
        <v>0</v>
      </c>
      <c r="M194" t="b">
        <v>0</v>
      </c>
      <c r="N194" t="inlineStr">
        <is>
          <t>ref</t>
        </is>
      </c>
      <c r="O194" t="n">
        <v>100</v>
      </c>
      <c r="P194" t="n">
        <v>0.3818</v>
      </c>
      <c r="Q194" t="n">
        <v>-85</v>
      </c>
      <c r="R194" t="n">
        <v>0.2493</v>
      </c>
      <c r="S194">
        <f>IMAGE("https://mitra.stanford.edu/kundaje/oak/projects/neuro-variants/variant_position/credible/roussos_2024/variant_figures/roussos_2024.childhood.Astrocyte/rs1112314_count_position.png",4,220,900)</f>
        <v/>
      </c>
      <c r="T194">
        <f>IMAGE("https://mitra.stanford.edu/kundaje/oak/projects/neuro-variants/variant_position/credible/roussos_2024/variant_figures/roussos_2024.childhood.Astrocyte/rs1112314_profile_position.png",4,220,900)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0.0282699622</v>
      </c>
      <c r="G195" t="n">
        <v>0.3991985955720181</v>
      </c>
      <c r="H195" t="n">
        <v>0.0220242854891629</v>
      </c>
      <c r="I195" t="n">
        <v>0.0926590664152971</v>
      </c>
      <c r="J195" t="n">
        <v>0.036636822300077</v>
      </c>
      <c r="K195" t="n">
        <v>0.498317455905075</v>
      </c>
      <c r="L195" t="b">
        <v>0</v>
      </c>
      <c r="M195" t="b">
        <v>0</v>
      </c>
      <c r="N195" t="inlineStr">
        <is>
          <t>alt</t>
        </is>
      </c>
      <c r="O195" t="n">
        <v>100</v>
      </c>
      <c r="P195" t="n">
        <v>0.007442</v>
      </c>
      <c r="Q195" t="n">
        <v>-15</v>
      </c>
      <c r="R195" t="n">
        <v>0.004578</v>
      </c>
      <c r="S195">
        <f>IMAGE("https://mitra.stanford.edu/kundaje/oak/projects/neuro-variants/variant_position/credible/roussos_2024/variant_figures/roussos_2024.childhood.Astrocyte/rs12047563_count_position.png",4,220,900)</f>
        <v/>
      </c>
      <c r="T195">
        <f>IMAGE("https://mitra.stanford.edu/kundaje/oak/projects/neuro-variants/variant_position/credible/roussos_2024/variant_figures/roussos_2024.childhood.Astrocyte/rs12047563_profile_position.png",4,220,900)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-0.0839233494</v>
      </c>
      <c r="G196" t="n">
        <v>0.099866104306329</v>
      </c>
      <c r="H196" t="n">
        <v>0.0130823138417778</v>
      </c>
      <c r="I196" t="n">
        <v>0.4253179242431298</v>
      </c>
      <c r="J196" t="n">
        <v>0.0206605451367421</v>
      </c>
      <c r="K196" t="n">
        <v>0.5997607707569942</v>
      </c>
      <c r="L196" t="b">
        <v>0</v>
      </c>
      <c r="M196" t="b">
        <v>0</v>
      </c>
      <c r="N196" t="inlineStr">
        <is>
          <t>ref</t>
        </is>
      </c>
      <c r="O196" t="n">
        <v>35</v>
      </c>
      <c r="P196" t="n">
        <v>0.006577</v>
      </c>
      <c r="Q196" t="n">
        <v>5</v>
      </c>
      <c r="R196" t="n">
        <v>0.008789999999999999</v>
      </c>
      <c r="S196">
        <f>IMAGE("https://mitra.stanford.edu/kundaje/oak/projects/neuro-variants/variant_position/credible/roussos_2024/variant_figures/roussos_2024.childhood.Astrocyte/rs4503384_count_position.png",4,220,900)</f>
        <v/>
      </c>
      <c r="T196">
        <f>IMAGE("https://mitra.stanford.edu/kundaje/oak/projects/neuro-variants/variant_position/credible/roussos_2024/variant_figures/roussos_2024.childhood.Astrocyte/rs4503384_profile_position.png",4,220,900)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0.00337788762</v>
      </c>
      <c r="G197" t="n">
        <v>0.8392213919026619</v>
      </c>
      <c r="H197" t="n">
        <v>0.0255269376453452</v>
      </c>
      <c r="I197" t="n">
        <v>0.0538992244386175</v>
      </c>
      <c r="J197" t="n">
        <v>0.0007640463160143</v>
      </c>
      <c r="K197" t="n">
        <v>0.9240767651919212</v>
      </c>
      <c r="L197" t="b">
        <v>0</v>
      </c>
      <c r="M197" t="b">
        <v>0</v>
      </c>
      <c r="N197" t="inlineStr">
        <is>
          <t>alt</t>
        </is>
      </c>
      <c r="O197" t="n">
        <v>-55</v>
      </c>
      <c r="P197" t="n">
        <v>0.001601</v>
      </c>
      <c r="Q197" t="n">
        <v>-85</v>
      </c>
      <c r="R197" t="n">
        <v>0.1167</v>
      </c>
      <c r="S197">
        <f>IMAGE("https://mitra.stanford.edu/kundaje/oak/projects/neuro-variants/variant_position/credible/roussos_2024/variant_figures/roussos_2024.childhood.Astrocyte/rs56682383_count_position.png",4,220,900)</f>
        <v/>
      </c>
      <c r="T197">
        <f>IMAGE("https://mitra.stanford.edu/kundaje/oak/projects/neuro-variants/variant_position/credible/roussos_2024/variant_figures/roussos_2024.childhood.Astrocyte/rs56682383_profile_position.png",4,220,900)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0.0408276274</v>
      </c>
      <c r="G198" t="n">
        <v>0.2731236308681357</v>
      </c>
      <c r="H198" t="n">
        <v>0.0110078028265868</v>
      </c>
      <c r="I198" t="n">
        <v>0.6129226619059367</v>
      </c>
      <c r="J198" t="n">
        <v>0.0003007335149946</v>
      </c>
      <c r="K198" t="n">
        <v>0.9712000117036272</v>
      </c>
      <c r="L198" t="b">
        <v>0</v>
      </c>
      <c r="M198" t="b">
        <v>0</v>
      </c>
      <c r="N198" t="inlineStr">
        <is>
          <t>alt</t>
        </is>
      </c>
      <c r="O198" t="n">
        <v>-100</v>
      </c>
      <c r="P198" t="n">
        <v>0.0386</v>
      </c>
      <c r="Q198" t="n">
        <v>-95</v>
      </c>
      <c r="R198" t="n">
        <v>0.11145</v>
      </c>
      <c r="S198">
        <f>IMAGE("https://mitra.stanford.edu/kundaje/oak/projects/neuro-variants/variant_position/credible/roussos_2024/variant_figures/roussos_2024.childhood.Astrocyte/rs9727787_count_position.png",4,220,900)</f>
        <v/>
      </c>
      <c r="T198">
        <f>IMAGE("https://mitra.stanford.edu/kundaje/oak/projects/neuro-variants/variant_position/credible/roussos_2024/variant_figures/roussos_2024.childhood.Astrocyte/rs9727787_profile_position.png",4,220,900)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0.0476356637999999</v>
      </c>
      <c r="G199" t="n">
        <v>0.2416449714591948</v>
      </c>
      <c r="H199" t="n">
        <v>0.011554378629042</v>
      </c>
      <c r="I199" t="n">
        <v>0.54716641805607</v>
      </c>
      <c r="J199" t="n">
        <v>0.0020036179615762</v>
      </c>
      <c r="K199" t="n">
        <v>0.8663360121804464</v>
      </c>
      <c r="L199" t="b">
        <v>0</v>
      </c>
      <c r="M199" t="b">
        <v>0</v>
      </c>
      <c r="N199" t="inlineStr">
        <is>
          <t>alt</t>
        </is>
      </c>
      <c r="O199" t="n">
        <v>-25</v>
      </c>
      <c r="P199" t="n">
        <v>0.00604</v>
      </c>
      <c r="Q199" t="n">
        <v>-70</v>
      </c>
      <c r="R199" t="n">
        <v>0.03192</v>
      </c>
      <c r="S199">
        <f>IMAGE("https://mitra.stanford.edu/kundaje/oak/projects/neuro-variants/variant_position/credible/roussos_2024/variant_figures/roussos_2024.childhood.Astrocyte/rs55824522_count_position.png",4,220,900)</f>
        <v/>
      </c>
      <c r="T199">
        <f>IMAGE("https://mitra.stanford.edu/kundaje/oak/projects/neuro-variants/variant_position/credible/roussos_2024/variant_figures/roussos_2024.childhood.Astrocyte/rs55824522_profile_position.png",4,220,900)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0.01305938218</v>
      </c>
      <c r="G200" t="n">
        <v>0.6482881830895131</v>
      </c>
      <c r="H200" t="n">
        <v>0.0333534243784913</v>
      </c>
      <c r="I200" t="n">
        <v>0.0197599334216113</v>
      </c>
      <c r="J200" t="n">
        <v>0.0002297481929273</v>
      </c>
      <c r="K200" t="n">
        <v>0.963626236568352</v>
      </c>
      <c r="L200" t="b">
        <v>0</v>
      </c>
      <c r="M200" t="b">
        <v>0</v>
      </c>
      <c r="N200" t="inlineStr">
        <is>
          <t>alt</t>
        </is>
      </c>
      <c r="O200" t="n">
        <v>50</v>
      </c>
      <c r="P200" t="n">
        <v>0.009860000000000001</v>
      </c>
      <c r="Q200" t="n">
        <v>-100</v>
      </c>
      <c r="R200" t="n">
        <v>0.01785</v>
      </c>
      <c r="S200">
        <f>IMAGE("https://mitra.stanford.edu/kundaje/oak/projects/neuro-variants/variant_position/credible/roussos_2024/variant_figures/roussos_2024.childhood.Astrocyte/rs12043021_count_position.png",4,220,900)</f>
        <v/>
      </c>
      <c r="T200">
        <f>IMAGE("https://mitra.stanford.edu/kundaje/oak/projects/neuro-variants/variant_position/credible/roussos_2024/variant_figures/roussos_2024.childhood.Astrocyte/rs12043021_profile_position.png",4,220,900)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0.0222424299399999</v>
      </c>
      <c r="G201" t="n">
        <v>0.4856897394971312</v>
      </c>
      <c r="H201" t="n">
        <v>0.0121933276366408</v>
      </c>
      <c r="I201" t="n">
        <v>0.4985374659946669</v>
      </c>
      <c r="J201" t="n">
        <v>0.0001671589842229</v>
      </c>
      <c r="K201" t="n">
        <v>0.9728079487964056</v>
      </c>
      <c r="L201" t="b">
        <v>0</v>
      </c>
      <c r="M201" t="b">
        <v>0</v>
      </c>
      <c r="N201" t="inlineStr">
        <is>
          <t>alt</t>
        </is>
      </c>
      <c r="O201" t="n">
        <v>-50</v>
      </c>
      <c r="P201" t="n">
        <v>0.04672</v>
      </c>
      <c r="Q201" t="n">
        <v>-75</v>
      </c>
      <c r="R201" t="n">
        <v>0.0745</v>
      </c>
      <c r="S201">
        <f>IMAGE("https://mitra.stanford.edu/kundaje/oak/projects/neuro-variants/variant_position/credible/roussos_2024/variant_figures/roussos_2024.childhood.Astrocyte/rs12040699_count_position.png",4,220,900)</f>
        <v/>
      </c>
      <c r="T201">
        <f>IMAGE("https://mitra.stanford.edu/kundaje/oak/projects/neuro-variants/variant_position/credible/roussos_2024/variant_figures/roussos_2024.childhood.Astrocyte/rs12040699_profile_position.png",4,220,900)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-0.09571640799999991</v>
      </c>
      <c r="G202" t="n">
        <v>0.07905120389851671</v>
      </c>
      <c r="H202" t="n">
        <v>0.0142630619685612</v>
      </c>
      <c r="I202" t="n">
        <v>0.3395457129461516</v>
      </c>
      <c r="J202" t="n">
        <v>0.0007663361651133</v>
      </c>
      <c r="K202" t="n">
        <v>0.9209875625126812</v>
      </c>
      <c r="L202" t="b">
        <v>0</v>
      </c>
      <c r="M202" t="b">
        <v>0</v>
      </c>
      <c r="N202" t="inlineStr">
        <is>
          <t>ref</t>
        </is>
      </c>
      <c r="O202" t="n">
        <v>-100</v>
      </c>
      <c r="P202" t="n">
        <v>0.0109</v>
      </c>
      <c r="Q202" t="n">
        <v>-40</v>
      </c>
      <c r="R202" t="n">
        <v>0.07166</v>
      </c>
      <c r="S202">
        <f>IMAGE("https://mitra.stanford.edu/kundaje/oak/projects/neuro-variants/variant_position/credible/roussos_2024/variant_figures/roussos_2024.childhood.Astrocyte/rs12026223_count_position.png",4,220,900)</f>
        <v/>
      </c>
      <c r="T202">
        <f>IMAGE("https://mitra.stanford.edu/kundaje/oak/projects/neuro-variants/variant_position/credible/roussos_2024/variant_figures/roussos_2024.childhood.Astrocyte/rs12026223_profile_position.png",4,220,900)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-0.0228187436</v>
      </c>
      <c r="G203" t="n">
        <v>0.4879555463093162</v>
      </c>
      <c r="H203" t="n">
        <v>0.0066789404257422</v>
      </c>
      <c r="I203" t="n">
        <v>0.9760137276234108</v>
      </c>
      <c r="J203" t="n">
        <v>0.043428514727546</v>
      </c>
      <c r="K203" t="n">
        <v>0.482740809241519</v>
      </c>
      <c r="L203" t="b">
        <v>0</v>
      </c>
      <c r="M203" t="b">
        <v>0</v>
      </c>
      <c r="N203" t="inlineStr">
        <is>
          <t>ref</t>
        </is>
      </c>
      <c r="O203" t="n">
        <v>100</v>
      </c>
      <c r="P203" t="n">
        <v>0.011185</v>
      </c>
      <c r="Q203" t="n">
        <v>100</v>
      </c>
      <c r="R203" t="n">
        <v>0.1378</v>
      </c>
      <c r="S203">
        <f>IMAGE("https://mitra.stanford.edu/kundaje/oak/projects/neuro-variants/variant_position/credible/roussos_2024/variant_figures/roussos_2024.childhood.Astrocyte/rs6687374_count_position.png",4,220,900)</f>
        <v/>
      </c>
      <c r="T203">
        <f>IMAGE("https://mitra.stanford.edu/kundaje/oak/projects/neuro-variants/variant_position/credible/roussos_2024/variant_figures/roussos_2024.childhood.Astrocyte/rs6687374_profile_position.png",4,220,900)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0.035105896</v>
      </c>
      <c r="G204" t="n">
        <v>0.3331227707291946</v>
      </c>
      <c r="H204" t="n">
        <v>0.0097553352712242</v>
      </c>
      <c r="I204" t="n">
        <v>0.702210904208606</v>
      </c>
      <c r="J204" t="n">
        <v>0.0013433781380473</v>
      </c>
      <c r="K204" t="n">
        <v>0.893506503330847</v>
      </c>
      <c r="L204" t="b">
        <v>0</v>
      </c>
      <c r="M204" t="b">
        <v>0</v>
      </c>
      <c r="N204" t="inlineStr">
        <is>
          <t>alt</t>
        </is>
      </c>
      <c r="O204" t="n">
        <v>-85</v>
      </c>
      <c r="P204" t="n">
        <v>0.0396</v>
      </c>
      <c r="Q204" t="n">
        <v>-85</v>
      </c>
      <c r="R204" t="n">
        <v>0.1335</v>
      </c>
      <c r="S204">
        <f>IMAGE("https://mitra.stanford.edu/kundaje/oak/projects/neuro-variants/variant_position/credible/roussos_2024/variant_figures/roussos_2024.childhood.Astrocyte/rs58941846_count_position.png",4,220,900)</f>
        <v/>
      </c>
      <c r="T204">
        <f>IMAGE("https://mitra.stanford.edu/kundaje/oak/projects/neuro-variants/variant_position/credible/roussos_2024/variant_figures/roussos_2024.childhood.Astrocyte/rs58941846_profile_position.png",4,220,900)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0.0304597556</v>
      </c>
      <c r="G205" t="n">
        <v>0.3718475219429309</v>
      </c>
      <c r="H205" t="n">
        <v>0.0190825944694646</v>
      </c>
      <c r="I205" t="n">
        <v>0.144552348125439</v>
      </c>
      <c r="J205" t="n">
        <v>0.0151549846198468</v>
      </c>
      <c r="K205" t="n">
        <v>0.6285711171611996</v>
      </c>
      <c r="L205" t="b">
        <v>0</v>
      </c>
      <c r="M205" t="b">
        <v>0</v>
      </c>
      <c r="N205" t="inlineStr">
        <is>
          <t>alt</t>
        </is>
      </c>
      <c r="O205" t="n">
        <v>-100</v>
      </c>
      <c r="P205" t="n">
        <v>0.01567</v>
      </c>
      <c r="Q205" t="n">
        <v>70</v>
      </c>
      <c r="R205" t="n">
        <v>0.1505</v>
      </c>
      <c r="S205">
        <f>IMAGE("https://mitra.stanford.edu/kundaje/oak/projects/neuro-variants/variant_position/credible/roussos_2024/variant_figures/roussos_2024.childhood.Astrocyte/rs12129397_count_position.png",4,220,900)</f>
        <v/>
      </c>
      <c r="T205">
        <f>IMAGE("https://mitra.stanford.edu/kundaje/oak/projects/neuro-variants/variant_position/credible/roussos_2024/variant_figures/roussos_2024.childhood.Astrocyte/rs12129397_profile_position.png",4,220,900)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-0.0043677081199999</v>
      </c>
      <c r="G206" t="n">
        <v>0.8483067431575853</v>
      </c>
      <c r="H206" t="n">
        <v>0.0319452461001247</v>
      </c>
      <c r="I206" t="n">
        <v>0.0237537646881807</v>
      </c>
      <c r="J206" t="n">
        <v>0.0021646706815353</v>
      </c>
      <c r="K206" t="n">
        <v>0.8607075711305811</v>
      </c>
      <c r="L206" t="b">
        <v>0</v>
      </c>
      <c r="M206" t="b">
        <v>0</v>
      </c>
      <c r="N206" t="inlineStr">
        <is>
          <t>ref</t>
        </is>
      </c>
      <c r="O206" t="n">
        <v>-80</v>
      </c>
      <c r="P206" t="n">
        <v>0.0119</v>
      </c>
      <c r="Q206" t="n">
        <v>-85</v>
      </c>
      <c r="R206" t="n">
        <v>0.1494</v>
      </c>
      <c r="S206">
        <f>IMAGE("https://mitra.stanford.edu/kundaje/oak/projects/neuro-variants/variant_position/credible/roussos_2024/variant_figures/roussos_2024.childhood.Astrocyte/rs11165872_count_position.png",4,220,900)</f>
        <v/>
      </c>
      <c r="T206">
        <f>IMAGE("https://mitra.stanford.edu/kundaje/oak/projects/neuro-variants/variant_position/credible/roussos_2024/variant_figures/roussos_2024.childhood.Astrocyte/rs11165872_profile_position.png",4,220,900)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0.0395891654</v>
      </c>
      <c r="G207" t="n">
        <v>0.2821582656295139</v>
      </c>
      <c r="H207" t="n">
        <v>0.0205323553008577</v>
      </c>
      <c r="I207" t="n">
        <v>0.1162867864474169</v>
      </c>
      <c r="J207" t="n">
        <v>0.0238266431575491</v>
      </c>
      <c r="K207" t="n">
        <v>0.5675269304188664</v>
      </c>
      <c r="L207" t="b">
        <v>0</v>
      </c>
      <c r="M207" t="b">
        <v>0</v>
      </c>
      <c r="N207" t="inlineStr">
        <is>
          <t>alt</t>
        </is>
      </c>
      <c r="O207" t="n">
        <v>-10</v>
      </c>
      <c r="P207" t="n">
        <v>0.000656</v>
      </c>
      <c r="Q207" t="n">
        <v>-95</v>
      </c>
      <c r="R207" t="n">
        <v>0.06128</v>
      </c>
      <c r="S207">
        <f>IMAGE("https://mitra.stanford.edu/kundaje/oak/projects/neuro-variants/variant_position/credible/roussos_2024/variant_figures/roussos_2024.childhood.Astrocyte/rs12354219_count_position.png",4,220,900)</f>
        <v/>
      </c>
      <c r="T207">
        <f>IMAGE("https://mitra.stanford.edu/kundaje/oak/projects/neuro-variants/variant_position/credible/roussos_2024/variant_figures/roussos_2024.childhood.Astrocyte/rs12354219_profile_position.png",4,220,900)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0.01933999026</v>
      </c>
      <c r="G208" t="n">
        <v>0.5185732689981536</v>
      </c>
      <c r="H208" t="n">
        <v>0.0199617960862626</v>
      </c>
      <c r="I208" t="n">
        <v>0.1280654884173908</v>
      </c>
      <c r="J208" t="n">
        <v>0.0088556097486508</v>
      </c>
      <c r="K208" t="n">
        <v>0.7066169479321651</v>
      </c>
      <c r="L208" t="b">
        <v>0</v>
      </c>
      <c r="M208" t="b">
        <v>0</v>
      </c>
      <c r="N208" t="inlineStr">
        <is>
          <t>alt</t>
        </is>
      </c>
      <c r="O208" t="n">
        <v>-35</v>
      </c>
      <c r="P208" t="n">
        <v>0.01996</v>
      </c>
      <c r="Q208" t="n">
        <v>100</v>
      </c>
      <c r="R208" t="n">
        <v>0.1247</v>
      </c>
      <c r="S208">
        <f>IMAGE("https://mitra.stanford.edu/kundaje/oak/projects/neuro-variants/variant_position/credible/roussos_2024/variant_figures/roussos_2024.childhood.Astrocyte/rs79917705_count_position.png",4,220,900)</f>
        <v/>
      </c>
      <c r="T208">
        <f>IMAGE("https://mitra.stanford.edu/kundaje/oak/projects/neuro-variants/variant_position/credible/roussos_2024/variant_figures/roussos_2024.childhood.Astrocyte/rs79917705_profile_position.png",4,220,900)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0.008565816199999901</v>
      </c>
      <c r="G209" t="n">
        <v>0.2317204770742818</v>
      </c>
      <c r="H209" t="n">
        <v>0.0264675424510955</v>
      </c>
      <c r="I209" t="n">
        <v>0.0802845310467684</v>
      </c>
      <c r="J209" t="n">
        <v>0.0006503171441001</v>
      </c>
      <c r="K209" t="n">
        <v>0.932856321751372</v>
      </c>
      <c r="L209" t="b">
        <v>0</v>
      </c>
      <c r="M209" t="b">
        <v>0</v>
      </c>
      <c r="N209" t="inlineStr">
        <is>
          <t>alt</t>
        </is>
      </c>
      <c r="O209" t="n">
        <v>-10</v>
      </c>
      <c r="P209" t="n">
        <v>0.001571</v>
      </c>
      <c r="Q209" t="n">
        <v>100</v>
      </c>
      <c r="R209" t="n">
        <v>0.05588</v>
      </c>
      <c r="S209">
        <f>IMAGE("https://mitra.stanford.edu/kundaje/oak/projects/neuro-variants/variant_position/credible/roussos_2024/variant_figures/roussos_2024.childhood.Astrocyte/rs10783069_count_position.png",4,220,900)</f>
        <v/>
      </c>
      <c r="T209">
        <f>IMAGE("https://mitra.stanford.edu/kundaje/oak/projects/neuro-variants/variant_position/credible/roussos_2024/variant_figures/roussos_2024.childhood.Astrocyte/rs10783069_profile_position.png",4,220,900)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-0.165927294</v>
      </c>
      <c r="G210" t="n">
        <v>0.0264810472162071</v>
      </c>
      <c r="H210" t="n">
        <v>0.0237729514340947</v>
      </c>
      <c r="I210" t="n">
        <v>0.0727005083432434</v>
      </c>
      <c r="J210" t="n">
        <v>0.06727805637608469</v>
      </c>
      <c r="K210" t="n">
        <v>0.3925588572302714</v>
      </c>
      <c r="L210" t="b">
        <v>0</v>
      </c>
      <c r="M210" t="b">
        <v>0</v>
      </c>
      <c r="N210" t="inlineStr">
        <is>
          <t>ref</t>
        </is>
      </c>
      <c r="O210" t="n">
        <v>90</v>
      </c>
      <c r="P210" t="n">
        <v>0.004944</v>
      </c>
      <c r="Q210" t="n">
        <v>30</v>
      </c>
      <c r="R210" t="n">
        <v>0.09766</v>
      </c>
      <c r="S210">
        <f>IMAGE("https://mitra.stanford.edu/kundaje/oak/projects/neuro-variants/variant_position/credible/roussos_2024/variant_figures/roussos_2024.childhood.Astrocyte/rs7537165_count_position.png",4,220,900)</f>
        <v/>
      </c>
      <c r="T210">
        <f>IMAGE("https://mitra.stanford.edu/kundaje/oak/projects/neuro-variants/variant_position/credible/roussos_2024/variant_figures/roussos_2024.childhood.Astrocyte/rs7537165_profile_position.png",4,220,900)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0.01154453256</v>
      </c>
      <c r="G211" t="n">
        <v>0.6829022654353651</v>
      </c>
      <c r="H211" t="n">
        <v>0.0279996368408744</v>
      </c>
      <c r="I211" t="n">
        <v>0.0384860080309056</v>
      </c>
      <c r="J211" t="n">
        <v>0.0018769129781013</v>
      </c>
      <c r="K211" t="n">
        <v>0.8778682876455161</v>
      </c>
      <c r="L211" t="b">
        <v>0</v>
      </c>
      <c r="M211" t="b">
        <v>0</v>
      </c>
      <c r="N211" t="inlineStr">
        <is>
          <t>alt</t>
        </is>
      </c>
      <c r="O211" t="n">
        <v>100</v>
      </c>
      <c r="P211" t="n">
        <v>0.00273</v>
      </c>
      <c r="Q211" t="n">
        <v>100</v>
      </c>
      <c r="R211" t="n">
        <v>0.1178</v>
      </c>
      <c r="S211">
        <f>IMAGE("https://mitra.stanford.edu/kundaje/oak/projects/neuro-variants/variant_position/credible/roussos_2024/variant_figures/roussos_2024.childhood.Astrocyte/rs2811202_count_position.png",4,220,900)</f>
        <v/>
      </c>
      <c r="T211">
        <f>IMAGE("https://mitra.stanford.edu/kundaje/oak/projects/neuro-variants/variant_position/credible/roussos_2024/variant_figures/roussos_2024.childhood.Astrocyte/rs2811202_profile_position.png",4,220,900)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0.0137920071399999</v>
      </c>
      <c r="G212" t="n">
        <v>0.6514176621702128</v>
      </c>
      <c r="H212" t="n">
        <v>0.0156082465753126</v>
      </c>
      <c r="I212" t="n">
        <v>0.268095897277874</v>
      </c>
      <c r="J212" t="n">
        <v>0.0003869844977215</v>
      </c>
      <c r="K212" t="n">
        <v>0.9554012251961644</v>
      </c>
      <c r="L212" t="b">
        <v>0</v>
      </c>
      <c r="M212" t="b">
        <v>0</v>
      </c>
      <c r="N212" t="inlineStr">
        <is>
          <t>alt</t>
        </is>
      </c>
      <c r="O212" t="n">
        <v>-40</v>
      </c>
      <c r="P212" t="n">
        <v>0.005867</v>
      </c>
      <c r="Q212" t="n">
        <v>-100</v>
      </c>
      <c r="R212" t="n">
        <v>0.017</v>
      </c>
      <c r="S212">
        <f>IMAGE("https://mitra.stanford.edu/kundaje/oak/projects/neuro-variants/variant_position/credible/roussos_2024/variant_figures/roussos_2024.childhood.Astrocyte/rs2811197_count_position.png",4,220,900)</f>
        <v/>
      </c>
      <c r="T212">
        <f>IMAGE("https://mitra.stanford.edu/kundaje/oak/projects/neuro-variants/variant_position/credible/roussos_2024/variant_figures/roussos_2024.childhood.Astrocyte/rs2811197_profile_position.png",4,220,900)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0.0453335283999999</v>
      </c>
      <c r="G213" t="n">
        <v>0.1731721776929272</v>
      </c>
      <c r="H213" t="n">
        <v>0.0128675212333985</v>
      </c>
      <c r="I213" t="n">
        <v>0.4416818947865042</v>
      </c>
      <c r="J213" t="n">
        <v>0.01415737369574</v>
      </c>
      <c r="K213" t="n">
        <v>0.6479726186082322</v>
      </c>
      <c r="L213" t="b">
        <v>0</v>
      </c>
      <c r="M213" t="b">
        <v>0</v>
      </c>
      <c r="N213" t="inlineStr">
        <is>
          <t>alt</t>
        </is>
      </c>
      <c r="O213" t="n">
        <v>-90</v>
      </c>
      <c r="P213" t="n">
        <v>0.004314</v>
      </c>
      <c r="Q213" t="n">
        <v>-20</v>
      </c>
      <c r="R213" t="n">
        <v>0.07854999999999999</v>
      </c>
      <c r="S213">
        <f>IMAGE("https://mitra.stanford.edu/kundaje/oak/projects/neuro-variants/variant_position/credible/roussos_2024/variant_figures/roussos_2024.childhood.Astrocyte/rs6663670_count_position.png",4,220,900)</f>
        <v/>
      </c>
      <c r="T213">
        <f>IMAGE("https://mitra.stanford.edu/kundaje/oak/projects/neuro-variants/variant_position/credible/roussos_2024/variant_figures/roussos_2024.childhood.Astrocyte/rs6663670_profile_position.png",4,220,900)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-0.0199169056</v>
      </c>
      <c r="G214" t="n">
        <v>0.5277958105596484</v>
      </c>
      <c r="H214" t="n">
        <v>0.0324286078603774</v>
      </c>
      <c r="I214" t="n">
        <v>0.0226327445570592</v>
      </c>
      <c r="J214" t="n">
        <v>0.008451069741170599</v>
      </c>
      <c r="K214" t="n">
        <v>0.7275964179108485</v>
      </c>
      <c r="L214" t="b">
        <v>0</v>
      </c>
      <c r="M214" t="b">
        <v>0</v>
      </c>
      <c r="N214" t="inlineStr">
        <is>
          <t>ref</t>
        </is>
      </c>
      <c r="O214" t="n">
        <v>-90</v>
      </c>
      <c r="P214" t="n">
        <v>0.008803999999999999</v>
      </c>
      <c r="Q214" t="n">
        <v>-25</v>
      </c>
      <c r="R214" t="n">
        <v>0.04138</v>
      </c>
      <c r="S214">
        <f>IMAGE("https://mitra.stanford.edu/kundaje/oak/projects/neuro-variants/variant_position/credible/roussos_2024/variant_figures/roussos_2024.childhood.Astrocyte/rs72975785_count_position.png",4,220,900)</f>
        <v/>
      </c>
      <c r="T214">
        <f>IMAGE("https://mitra.stanford.edu/kundaje/oak/projects/neuro-variants/variant_position/credible/roussos_2024/variant_figures/roussos_2024.childhood.Astrocyte/rs72975785_profile_position.png",4,220,900)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0.005509702972</v>
      </c>
      <c r="G215" t="n">
        <v>0.688178271989997</v>
      </c>
      <c r="H215" t="n">
        <v>0.0085663411431344</v>
      </c>
      <c r="I215" t="n">
        <v>0.8547499501954985</v>
      </c>
      <c r="J215" t="n">
        <v>0.002259317777625</v>
      </c>
      <c r="K215" t="n">
        <v>0.8493102167128685</v>
      </c>
      <c r="L215" t="b">
        <v>0</v>
      </c>
      <c r="M215" t="b">
        <v>0</v>
      </c>
      <c r="N215" t="inlineStr">
        <is>
          <t>alt</t>
        </is>
      </c>
      <c r="O215" t="n">
        <v>75</v>
      </c>
      <c r="P215" t="n">
        <v>0.01689</v>
      </c>
      <c r="Q215" t="n">
        <v>65</v>
      </c>
      <c r="R215" t="n">
        <v>0.05093</v>
      </c>
      <c r="S215">
        <f>IMAGE("https://mitra.stanford.edu/kundaje/oak/projects/neuro-variants/variant_position/credible/roussos_2024/variant_figures/roussos_2024.childhood.Astrocyte/rs11590802_count_position.png",4,220,900)</f>
        <v/>
      </c>
      <c r="T215">
        <f>IMAGE("https://mitra.stanford.edu/kundaje/oak/projects/neuro-variants/variant_position/credible/roussos_2024/variant_figures/roussos_2024.childhood.Astrocyte/rs11590802_profile_position.png",4,220,900)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0.1603232592</v>
      </c>
      <c r="G216" t="n">
        <v>0.0412021831876514</v>
      </c>
      <c r="H216" t="n">
        <v>0.0351620803279597</v>
      </c>
      <c r="I216" t="n">
        <v>0.0244859071066752</v>
      </c>
      <c r="J216" t="n">
        <v>0.0264538633570713</v>
      </c>
      <c r="K216" t="n">
        <v>0.5817509382416013</v>
      </c>
      <c r="L216" t="b">
        <v>0</v>
      </c>
      <c r="M216" t="b">
        <v>0</v>
      </c>
      <c r="N216" t="inlineStr">
        <is>
          <t>alt</t>
        </is>
      </c>
      <c r="O216" t="n">
        <v>15</v>
      </c>
      <c r="P216" t="n">
        <v>0.001717</v>
      </c>
      <c r="Q216" t="n">
        <v>95</v>
      </c>
      <c r="R216" t="n">
        <v>0.2397</v>
      </c>
      <c r="S216">
        <f>IMAGE("https://mitra.stanford.edu/kundaje/oak/projects/neuro-variants/variant_position/credible/roussos_2024/variant_figures/roussos_2024.childhood.Astrocyte/rs4970723_count_position.png",4,220,900)</f>
        <v/>
      </c>
      <c r="T216">
        <f>IMAGE("https://mitra.stanford.edu/kundaje/oak/projects/neuro-variants/variant_position/credible/roussos_2024/variant_figures/roussos_2024.childhood.Astrocyte/rs4970723_profile_position.png",4,220,900)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0.03042038738</v>
      </c>
      <c r="G217" t="n">
        <v>0.3750947727728361</v>
      </c>
      <c r="H217" t="n">
        <v>0.06611034847406271</v>
      </c>
      <c r="I217" t="n">
        <v>0.0014790955070765</v>
      </c>
      <c r="J217" t="n">
        <v>0.012059108638074</v>
      </c>
      <c r="K217" t="n">
        <v>0.6654719518382974</v>
      </c>
      <c r="L217" t="b">
        <v>1</v>
      </c>
      <c r="M217" t="b">
        <v>0</v>
      </c>
      <c r="N217" t="inlineStr">
        <is>
          <t>alt</t>
        </is>
      </c>
      <c r="O217" t="n">
        <v>-60</v>
      </c>
      <c r="P217" t="n">
        <v>0.0349</v>
      </c>
      <c r="Q217" t="n">
        <v>-45</v>
      </c>
      <c r="R217" t="n">
        <v>0.07240000000000001</v>
      </c>
      <c r="S217">
        <f>IMAGE("https://mitra.stanford.edu/kundaje/oak/projects/neuro-variants/variant_position/credible/roussos_2024/variant_figures/roussos_2024.childhood.Astrocyte/rs12044989_count_position.png",4,220,900)</f>
        <v/>
      </c>
      <c r="T217">
        <f>IMAGE("https://mitra.stanford.edu/kundaje/oak/projects/neuro-variants/variant_position/credible/roussos_2024/variant_figures/roussos_2024.childhood.Astrocyte/rs12044989_profile_position.png",4,220,900)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-0.0663965134</v>
      </c>
      <c r="G218" t="n">
        <v>0.1506319985393746</v>
      </c>
      <c r="H218" t="n">
        <v>0.0110054033139768</v>
      </c>
      <c r="I218" t="n">
        <v>0.6109515364178939</v>
      </c>
      <c r="J218" t="n">
        <v>0.0525596696511032</v>
      </c>
      <c r="K218" t="n">
        <v>0.4369252032442435</v>
      </c>
      <c r="L218" t="b">
        <v>0</v>
      </c>
      <c r="M218" t="b">
        <v>0</v>
      </c>
      <c r="N218" t="inlineStr">
        <is>
          <t>ref</t>
        </is>
      </c>
      <c r="O218" t="n">
        <v>-100</v>
      </c>
      <c r="P218" t="n">
        <v>0.007217</v>
      </c>
      <c r="Q218" t="n">
        <v>-100</v>
      </c>
      <c r="R218" t="n">
        <v>0.2664</v>
      </c>
      <c r="S218">
        <f>IMAGE("https://mitra.stanford.edu/kundaje/oak/projects/neuro-variants/variant_position/credible/roussos_2024/variant_figures/roussos_2024.childhood.Astrocyte/rs56732321_count_position.png",4,220,900)</f>
        <v/>
      </c>
      <c r="T218">
        <f>IMAGE("https://mitra.stanford.edu/kundaje/oak/projects/neuro-variants/variant_position/credible/roussos_2024/variant_figures/roussos_2024.childhood.Astrocyte/rs56732321_profile_position.png",4,220,900)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-0.316653332</v>
      </c>
      <c r="G219" t="n">
        <v>0.0047965263337199</v>
      </c>
      <c r="H219" t="n">
        <v>0.0435242896814958</v>
      </c>
      <c r="I219" t="n">
        <v>0.0072463753327345</v>
      </c>
      <c r="J219" t="n">
        <v>0.0608222084831275</v>
      </c>
      <c r="K219" t="n">
        <v>0.4173435349496999</v>
      </c>
      <c r="L219" t="b">
        <v>1</v>
      </c>
      <c r="M219" t="b">
        <v>1</v>
      </c>
      <c r="N219" t="inlineStr">
        <is>
          <t>ref</t>
        </is>
      </c>
      <c r="O219" t="n">
        <v>-100</v>
      </c>
      <c r="P219" t="n">
        <v>0.03226</v>
      </c>
      <c r="Q219" t="n">
        <v>-55</v>
      </c>
      <c r="R219" t="n">
        <v>0.1298</v>
      </c>
      <c r="S219">
        <f>IMAGE("https://mitra.stanford.edu/kundaje/oak/projects/neuro-variants/variant_position/credible/roussos_2024/variant_figures/roussos_2024.childhood.Astrocyte/rs11165939_count_position.png",4,220,900)</f>
        <v/>
      </c>
      <c r="T219">
        <f>IMAGE("https://mitra.stanford.edu/kundaje/oak/projects/neuro-variants/variant_position/credible/roussos_2024/variant_figures/roussos_2024.childhood.Astrocyte/rs11165939_profile_position.png",4,220,900)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0.01181908194</v>
      </c>
      <c r="G220" t="n">
        <v>0.5804162318465949</v>
      </c>
      <c r="H220" t="n">
        <v>0.0109574886310798</v>
      </c>
      <c r="I220" t="n">
        <v>0.6026349592431413</v>
      </c>
      <c r="J220" t="n">
        <v>0.0057963713524611</v>
      </c>
      <c r="K220" t="n">
        <v>0.763682451511374</v>
      </c>
      <c r="L220" t="b">
        <v>0</v>
      </c>
      <c r="M220" t="b">
        <v>0</v>
      </c>
      <c r="N220" t="inlineStr">
        <is>
          <t>alt</t>
        </is>
      </c>
      <c r="O220" t="n">
        <v>100</v>
      </c>
      <c r="P220" t="n">
        <v>0.07854999999999999</v>
      </c>
      <c r="Q220" t="n">
        <v>100</v>
      </c>
      <c r="R220" t="n">
        <v>0.0873</v>
      </c>
      <c r="S220">
        <f>IMAGE("https://mitra.stanford.edu/kundaje/oak/projects/neuro-variants/variant_position/credible/roussos_2024/variant_figures/roussos_2024.childhood.Astrocyte/rs12077962_count_position.png",4,220,900)</f>
        <v/>
      </c>
      <c r="T220">
        <f>IMAGE("https://mitra.stanford.edu/kundaje/oak/projects/neuro-variants/variant_position/credible/roussos_2024/variant_figures/roussos_2024.childhood.Astrocyte/rs12077962_profile_position.png",4,220,900)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-0.01449739686</v>
      </c>
      <c r="G221" t="n">
        <v>0.6280628199170047</v>
      </c>
      <c r="H221" t="n">
        <v>0.0346571795172258</v>
      </c>
      <c r="I221" t="n">
        <v>0.0168444750393472</v>
      </c>
      <c r="J221" t="n">
        <v>0.1393907474830741</v>
      </c>
      <c r="K221" t="n">
        <v>0.2667353269330407</v>
      </c>
      <c r="L221" t="b">
        <v>1</v>
      </c>
      <c r="M221" t="b">
        <v>0</v>
      </c>
      <c r="N221" t="inlineStr">
        <is>
          <t>ref</t>
        </is>
      </c>
      <c r="O221" t="n">
        <v>-100</v>
      </c>
      <c r="P221" t="n">
        <v>0.0499</v>
      </c>
      <c r="Q221" t="n">
        <v>-100</v>
      </c>
      <c r="R221" t="n">
        <v>0.4915</v>
      </c>
      <c r="S221">
        <f>IMAGE("https://mitra.stanford.edu/kundaje/oak/projects/neuro-variants/variant_position/credible/roussos_2024/variant_figures/roussos_2024.childhood.Astrocyte/rs1198572_count_position.png",4,220,900)</f>
        <v/>
      </c>
      <c r="T221">
        <f>IMAGE("https://mitra.stanford.edu/kundaje/oak/projects/neuro-variants/variant_position/credible/roussos_2024/variant_figures/roussos_2024.childhood.Astrocyte/rs1198572_profile_position.png",4,220,900)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0.01019585717</v>
      </c>
      <c r="G222" t="n">
        <v>0.7248776421993584</v>
      </c>
      <c r="H222" t="n">
        <v>0.0218615014825148</v>
      </c>
      <c r="I222" t="n">
        <v>0.0927963766663126</v>
      </c>
      <c r="J222" t="n">
        <v>0.1490737560394769</v>
      </c>
      <c r="K222" t="n">
        <v>0.2522810241564019</v>
      </c>
      <c r="L222" t="b">
        <v>0</v>
      </c>
      <c r="M222" t="b">
        <v>0</v>
      </c>
      <c r="N222" t="inlineStr">
        <is>
          <t>alt</t>
        </is>
      </c>
      <c r="O222" t="n">
        <v>-100</v>
      </c>
      <c r="P222" t="n">
        <v>0.04596</v>
      </c>
      <c r="Q222" t="n">
        <v>-100</v>
      </c>
      <c r="R222" t="n">
        <v>0.08026</v>
      </c>
      <c r="S222">
        <f>IMAGE("https://mitra.stanford.edu/kundaje/oak/projects/neuro-variants/variant_position/credible/roussos_2024/variant_figures/roussos_2024.childhood.Astrocyte/rs1702294_count_position.png",4,220,900)</f>
        <v/>
      </c>
      <c r="T222">
        <f>IMAGE("https://mitra.stanford.edu/kundaje/oak/projects/neuro-variants/variant_position/credible/roussos_2024/variant_figures/roussos_2024.childhood.Astrocyte/rs1702294_profile_position.png",4,220,900)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0.1454906888</v>
      </c>
      <c r="G223" t="n">
        <v>0.0347221878820424</v>
      </c>
      <c r="H223" t="n">
        <v>0.0185041252199845</v>
      </c>
      <c r="I223" t="n">
        <v>0.1624056045463368</v>
      </c>
      <c r="J223" t="n">
        <v>0.0333173043896406</v>
      </c>
      <c r="K223" t="n">
        <v>0.5163965924781646</v>
      </c>
      <c r="L223" t="b">
        <v>0</v>
      </c>
      <c r="M223" t="b">
        <v>0</v>
      </c>
      <c r="N223" t="inlineStr">
        <is>
          <t>alt</t>
        </is>
      </c>
      <c r="O223" t="n">
        <v>-65</v>
      </c>
      <c r="P223" t="n">
        <v>0.002995</v>
      </c>
      <c r="Q223" t="n">
        <v>65</v>
      </c>
      <c r="R223" t="n">
        <v>0.07385</v>
      </c>
      <c r="S223">
        <f>IMAGE("https://mitra.stanford.edu/kundaje/oak/projects/neuro-variants/variant_position/credible/roussos_2024/variant_figures/roussos_2024.childhood.Astrocyte/rs1702291_count_position.png",4,220,900)</f>
        <v/>
      </c>
      <c r="T223">
        <f>IMAGE("https://mitra.stanford.edu/kundaje/oak/projects/neuro-variants/variant_position/credible/roussos_2024/variant_figures/roussos_2024.childhood.Astrocyte/rs1702291_profile_position.png",4,220,900)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-0.03532055088</v>
      </c>
      <c r="G224" t="n">
        <v>0.3247230555206779</v>
      </c>
      <c r="H224" t="n">
        <v>0.0181109312079662</v>
      </c>
      <c r="I224" t="n">
        <v>0.1855999807635404</v>
      </c>
      <c r="J224" t="n">
        <v>0.0209788341614953</v>
      </c>
      <c r="K224" t="n">
        <v>0.5829567079333365</v>
      </c>
      <c r="L224" t="b">
        <v>0</v>
      </c>
      <c r="M224" t="b">
        <v>0</v>
      </c>
      <c r="N224" t="inlineStr">
        <is>
          <t>ref</t>
        </is>
      </c>
      <c r="O224" t="n">
        <v>100</v>
      </c>
      <c r="P224" t="n">
        <v>0.007860000000000001</v>
      </c>
      <c r="Q224" t="n">
        <v>85</v>
      </c>
      <c r="R224" t="n">
        <v>0.08840000000000001</v>
      </c>
      <c r="S224">
        <f>IMAGE("https://mitra.stanford.edu/kundaje/oak/projects/neuro-variants/variant_position/credible/roussos_2024/variant_figures/roussos_2024.childhood.Astrocyte/rs11808051_count_position.png",4,220,900)</f>
        <v/>
      </c>
      <c r="T224">
        <f>IMAGE("https://mitra.stanford.edu/kundaje/oak/projects/neuro-variants/variant_position/credible/roussos_2024/variant_figures/roussos_2024.childhood.Astrocyte/rs11808051_profile_position.png",4,220,900)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-0.01133148346</v>
      </c>
      <c r="G225" t="n">
        <v>0.6961248255664499</v>
      </c>
      <c r="H225" t="n">
        <v>0.0199602348447541</v>
      </c>
      <c r="I225" t="n">
        <v>0.1287007560539081</v>
      </c>
      <c r="J225" t="n">
        <v>0.0021570378512055</v>
      </c>
      <c r="K225" t="n">
        <v>0.8565055309768385</v>
      </c>
      <c r="L225" t="b">
        <v>0</v>
      </c>
      <c r="M225" t="b">
        <v>0</v>
      </c>
      <c r="N225" t="inlineStr">
        <is>
          <t>ref</t>
        </is>
      </c>
      <c r="O225" t="n">
        <v>-65</v>
      </c>
      <c r="P225" t="n">
        <v>0.00682</v>
      </c>
      <c r="Q225" t="n">
        <v>-100</v>
      </c>
      <c r="R225" t="n">
        <v>0.1492</v>
      </c>
      <c r="S225">
        <f>IMAGE("https://mitra.stanford.edu/kundaje/oak/projects/neuro-variants/variant_position/credible/roussos_2024/variant_figures/roussos_2024.childhood.Astrocyte/rs12027634_count_position.png",4,220,900)</f>
        <v/>
      </c>
      <c r="T225">
        <f>IMAGE("https://mitra.stanford.edu/kundaje/oak/projects/neuro-variants/variant_position/credible/roussos_2024/variant_figures/roussos_2024.childhood.Astrocyte/rs12027634_profile_position.png",4,220,900)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0.105235261</v>
      </c>
      <c r="G226" t="n">
        <v>0.06448151627514941</v>
      </c>
      <c r="H226" t="n">
        <v>0.0155917010376448</v>
      </c>
      <c r="I226" t="n">
        <v>0.2734485251370941</v>
      </c>
      <c r="J226" t="n">
        <v>0.1161487791287887</v>
      </c>
      <c r="K226" t="n">
        <v>0.2984884729269449</v>
      </c>
      <c r="L226" t="b">
        <v>0</v>
      </c>
      <c r="M226" t="b">
        <v>0</v>
      </c>
      <c r="N226" t="inlineStr">
        <is>
          <t>alt</t>
        </is>
      </c>
      <c r="O226" t="n">
        <v>100</v>
      </c>
      <c r="P226" t="n">
        <v>0.2136</v>
      </c>
      <c r="Q226" t="n">
        <v>-80</v>
      </c>
      <c r="R226" t="n">
        <v>0.06177</v>
      </c>
      <c r="S226">
        <f>IMAGE("https://mitra.stanford.edu/kundaje/oak/projects/neuro-variants/variant_position/credible/roussos_2024/variant_figures/roussos_2024.childhood.Astrocyte/rs4950095_count_position.png",4,220,900)</f>
        <v/>
      </c>
      <c r="T226">
        <f>IMAGE("https://mitra.stanford.edu/kundaje/oak/projects/neuro-variants/variant_position/credible/roussos_2024/variant_figures/roussos_2024.childhood.Astrocyte/rs4950095_profile_position.png",4,220,900)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0.04140512</v>
      </c>
      <c r="G227" t="n">
        <v>0.2692989915441395</v>
      </c>
      <c r="H227" t="n">
        <v>0.0163252253529383</v>
      </c>
      <c r="I227" t="n">
        <v>0.239961336165639</v>
      </c>
      <c r="J227" t="n">
        <v>0.0064215001564729</v>
      </c>
      <c r="K227" t="n">
        <v>0.7740910204148339</v>
      </c>
      <c r="L227" t="b">
        <v>0</v>
      </c>
      <c r="M227" t="b">
        <v>0</v>
      </c>
      <c r="N227" t="inlineStr">
        <is>
          <t>alt</t>
        </is>
      </c>
      <c r="O227" t="n">
        <v>100</v>
      </c>
      <c r="P227" t="n">
        <v>0.0112</v>
      </c>
      <c r="Q227" t="n">
        <v>100</v>
      </c>
      <c r="R227" t="n">
        <v>0.07729999999999999</v>
      </c>
      <c r="S227">
        <f>IMAGE("https://mitra.stanford.edu/kundaje/oak/projects/neuro-variants/variant_position/credible/roussos_2024/variant_figures/roussos_2024.childhood.Astrocyte/rs12567725_count_position.png",4,220,900)</f>
        <v/>
      </c>
      <c r="T227">
        <f>IMAGE("https://mitra.stanford.edu/kundaje/oak/projects/neuro-variants/variant_position/credible/roussos_2024/variant_figures/roussos_2024.childhood.Astrocyte/rs12567725_profile_position.png",4,220,900)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-0.009613704900000001</v>
      </c>
      <c r="G228" t="n">
        <v>0.5887458750519569</v>
      </c>
      <c r="H228" t="n">
        <v>0.0392177997955636</v>
      </c>
      <c r="I228" t="n">
        <v>0.0104599977483033</v>
      </c>
      <c r="J228" t="n">
        <v>0.0028554418263836</v>
      </c>
      <c r="K228" t="n">
        <v>0.8322738563119476</v>
      </c>
      <c r="L228" t="b">
        <v>0</v>
      </c>
      <c r="M228" t="b">
        <v>0</v>
      </c>
      <c r="N228" t="inlineStr">
        <is>
          <t>ref</t>
        </is>
      </c>
      <c r="O228" t="n">
        <v>-85</v>
      </c>
      <c r="P228" t="n">
        <v>0.007965</v>
      </c>
      <c r="Q228" t="n">
        <v>10</v>
      </c>
      <c r="R228" t="n">
        <v>0.0295</v>
      </c>
      <c r="S228">
        <f>IMAGE("https://mitra.stanford.edu/kundaje/oak/projects/neuro-variants/variant_position/credible/roussos_2024/variant_figures/roussos_2024.childhood.Astrocyte/rs2046585_count_position.png",4,220,900)</f>
        <v/>
      </c>
      <c r="T228">
        <f>IMAGE("https://mitra.stanford.edu/kundaje/oak/projects/neuro-variants/variant_position/credible/roussos_2024/variant_figures/roussos_2024.childhood.Astrocyte/rs2046585_profile_position.png",4,220,900)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0.2015911779999999</v>
      </c>
      <c r="G229" t="n">
        <v>0.0158724404810267</v>
      </c>
      <c r="H229" t="n">
        <v>0.0261789911371681</v>
      </c>
      <c r="I229" t="n">
        <v>0.0533238347050371</v>
      </c>
      <c r="J229" t="n">
        <v>0.0874058299558058</v>
      </c>
      <c r="K229" t="n">
        <v>0.3535726701219277</v>
      </c>
      <c r="L229" t="b">
        <v>1</v>
      </c>
      <c r="M229" t="b">
        <v>0</v>
      </c>
      <c r="N229" t="inlineStr">
        <is>
          <t>alt</t>
        </is>
      </c>
      <c r="O229" t="n">
        <v>-100</v>
      </c>
      <c r="P229" t="n">
        <v>0.01747</v>
      </c>
      <c r="Q229" t="n">
        <v>-20</v>
      </c>
      <c r="R229" t="n">
        <v>0.0332</v>
      </c>
      <c r="S229">
        <f>IMAGE("https://mitra.stanford.edu/kundaje/oak/projects/neuro-variants/variant_position/credible/roussos_2024/variant_figures/roussos_2024.childhood.Astrocyte/rs77509205_count_position.png",4,220,900)</f>
        <v/>
      </c>
      <c r="T229">
        <f>IMAGE("https://mitra.stanford.edu/kundaje/oak/projects/neuro-variants/variant_position/credible/roussos_2024/variant_figures/roussos_2024.childhood.Astrocyte/rs77509205_profile_position.png",4,220,900)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-0.1041256516</v>
      </c>
      <c r="G230" t="n">
        <v>0.072345387798452</v>
      </c>
      <c r="H230" t="n">
        <v>0.0172121657370572</v>
      </c>
      <c r="I230" t="n">
        <v>0.1973530546626201</v>
      </c>
      <c r="J230" t="n">
        <v>0.0344683352033767</v>
      </c>
      <c r="K230" t="n">
        <v>0.5108687167145474</v>
      </c>
      <c r="L230" t="b">
        <v>0</v>
      </c>
      <c r="M230" t="b">
        <v>0</v>
      </c>
      <c r="N230" t="inlineStr">
        <is>
          <t>ref</t>
        </is>
      </c>
      <c r="O230" t="n">
        <v>-95</v>
      </c>
      <c r="P230" t="n">
        <v>0.0095</v>
      </c>
      <c r="Q230" t="n">
        <v>-90</v>
      </c>
      <c r="R230" t="n">
        <v>0.1156</v>
      </c>
      <c r="S230">
        <f>IMAGE("https://mitra.stanford.edu/kundaje/oak/projects/neuro-variants/variant_position/credible/roussos_2024/variant_figures/roussos_2024.childhood.Astrocyte/rs6537851_count_position.png",4,220,900)</f>
        <v/>
      </c>
      <c r="T230">
        <f>IMAGE("https://mitra.stanford.edu/kundaje/oak/projects/neuro-variants/variant_position/credible/roussos_2024/variant_figures/roussos_2024.childhood.Astrocyte/rs6537851_profile_position.png",4,220,900)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-0.09398656908</v>
      </c>
      <c r="G231" t="n">
        <v>0.0912612884402986</v>
      </c>
      <c r="H231" t="n">
        <v>0.0142478407939552</v>
      </c>
      <c r="I231" t="n">
        <v>0.3435734674049006</v>
      </c>
      <c r="J231" t="n">
        <v>0.2240327295764542</v>
      </c>
      <c r="K231" t="n">
        <v>0.1827832327781151</v>
      </c>
      <c r="L231" t="b">
        <v>0</v>
      </c>
      <c r="M231" t="b">
        <v>0</v>
      </c>
      <c r="N231" t="inlineStr">
        <is>
          <t>ref</t>
        </is>
      </c>
      <c r="O231" t="n">
        <v>95</v>
      </c>
      <c r="P231" t="n">
        <v>0.003119</v>
      </c>
      <c r="Q231" t="n">
        <v>-55</v>
      </c>
      <c r="R231" t="n">
        <v>0.04736</v>
      </c>
      <c r="S231">
        <f>IMAGE("https://mitra.stanford.edu/kundaje/oak/projects/neuro-variants/variant_position/credible/roussos_2024/variant_figures/roussos_2024.childhood.Astrocyte/rs11102896_count_position.png",4,220,900)</f>
        <v/>
      </c>
      <c r="T231">
        <f>IMAGE("https://mitra.stanford.edu/kundaje/oak/projects/neuro-variants/variant_position/credible/roussos_2024/variant_figures/roussos_2024.childhood.Astrocyte/rs11102896_profile_position.png",4,220,900)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-0.0616077082</v>
      </c>
      <c r="G232" t="n">
        <v>0.1736193747730852</v>
      </c>
      <c r="H232" t="n">
        <v>0.0122974881753059</v>
      </c>
      <c r="I232" t="n">
        <v>0.4867957162256014</v>
      </c>
      <c r="J232" t="n">
        <v>0.0286154809064748</v>
      </c>
      <c r="K232" t="n">
        <v>0.560802215726339</v>
      </c>
      <c r="L232" t="b">
        <v>0</v>
      </c>
      <c r="M232" t="b">
        <v>0</v>
      </c>
      <c r="N232" t="inlineStr">
        <is>
          <t>ref</t>
        </is>
      </c>
      <c r="O232" t="n">
        <v>100</v>
      </c>
      <c r="P232" t="n">
        <v>0.04135</v>
      </c>
      <c r="Q232" t="n">
        <v>100</v>
      </c>
      <c r="R232" t="n">
        <v>0.1897</v>
      </c>
      <c r="S232">
        <f>IMAGE("https://mitra.stanford.edu/kundaje/oak/projects/neuro-variants/variant_position/credible/roussos_2024/variant_figures/roussos_2024.childhood.Astrocyte/rs2223926_count_position.png",4,220,900)</f>
        <v/>
      </c>
      <c r="T232">
        <f>IMAGE("https://mitra.stanford.edu/kundaje/oak/projects/neuro-variants/variant_position/credible/roussos_2024/variant_figures/roussos_2024.childhood.Astrocyte/rs2223926_profile_position.png",4,220,900)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-0.0069933496</v>
      </c>
      <c r="G233" t="n">
        <v>0.6075242133022599</v>
      </c>
      <c r="H233" t="n">
        <v>0.034280741929499</v>
      </c>
      <c r="I233" t="n">
        <v>0.0176293974776428</v>
      </c>
      <c r="J233" t="n">
        <v>0.0343507896162975</v>
      </c>
      <c r="K233" t="n">
        <v>0.5104183183333622</v>
      </c>
      <c r="L233" t="b">
        <v>1</v>
      </c>
      <c r="M233" t="b">
        <v>0</v>
      </c>
      <c r="N233" t="inlineStr">
        <is>
          <t>ref</t>
        </is>
      </c>
      <c r="O233" t="n">
        <v>-90</v>
      </c>
      <c r="P233" t="n">
        <v>0.00775</v>
      </c>
      <c r="Q233" t="n">
        <v>-100</v>
      </c>
      <c r="R233" t="n">
        <v>0.10516</v>
      </c>
      <c r="S233">
        <f>IMAGE("https://mitra.stanford.edu/kundaje/oak/projects/neuro-variants/variant_position/credible/roussos_2024/variant_figures/roussos_2024.childhood.Astrocyte/rs12745199_count_position.png",4,220,900)</f>
        <v/>
      </c>
      <c r="T233">
        <f>IMAGE("https://mitra.stanford.edu/kundaje/oak/projects/neuro-variants/variant_position/credible/roussos_2024/variant_figures/roussos_2024.childhood.Astrocyte/rs12745199_profile_position.png",4,220,900)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0.0253983625999999</v>
      </c>
      <c r="G234" t="n">
        <v>0.4261747577812781</v>
      </c>
      <c r="H234" t="n">
        <v>0.0323606315399615</v>
      </c>
      <c r="I234" t="n">
        <v>0.0233302159283276</v>
      </c>
      <c r="J234" t="n">
        <v>0.0037690916168624</v>
      </c>
      <c r="K234" t="n">
        <v>0.8070488964464578</v>
      </c>
      <c r="L234" t="b">
        <v>0</v>
      </c>
      <c r="M234" t="b">
        <v>0</v>
      </c>
      <c r="N234" t="inlineStr">
        <is>
          <t>alt</t>
        </is>
      </c>
      <c r="O234" t="n">
        <v>25</v>
      </c>
      <c r="P234" t="n">
        <v>0.00537</v>
      </c>
      <c r="Q234" t="n">
        <v>25</v>
      </c>
      <c r="R234" t="n">
        <v>0.03452</v>
      </c>
      <c r="S234">
        <f>IMAGE("https://mitra.stanford.edu/kundaje/oak/projects/neuro-variants/variant_position/credible/roussos_2024/variant_figures/roussos_2024.childhood.Astrocyte/rs6687454_count_position.png",4,220,900)</f>
        <v/>
      </c>
      <c r="T234">
        <f>IMAGE("https://mitra.stanford.edu/kundaje/oak/projects/neuro-variants/variant_position/credible/roussos_2024/variant_figures/roussos_2024.childhood.Astrocyte/rs6687454_profile_position.png",4,220,900)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-0.0987783176</v>
      </c>
      <c r="G235" t="n">
        <v>0.1061095003320412</v>
      </c>
      <c r="H235" t="n">
        <v>0.0226682970500093</v>
      </c>
      <c r="I235" t="n">
        <v>0.1160728362451527</v>
      </c>
      <c r="J235" t="n">
        <v>0.0044346744216222</v>
      </c>
      <c r="K235" t="n">
        <v>0.7857197761784606</v>
      </c>
      <c r="L235" t="b">
        <v>0</v>
      </c>
      <c r="M235" t="b">
        <v>0</v>
      </c>
      <c r="N235" t="inlineStr">
        <is>
          <t>ref</t>
        </is>
      </c>
      <c r="O235" t="n">
        <v>95</v>
      </c>
      <c r="P235" t="n">
        <v>0.03065</v>
      </c>
      <c r="Q235" t="n">
        <v>85</v>
      </c>
      <c r="R235" t="n">
        <v>0.099</v>
      </c>
      <c r="S235">
        <f>IMAGE("https://mitra.stanford.edu/kundaje/oak/projects/neuro-variants/variant_position/credible/roussos_2024/variant_figures/roussos_2024.childhood.Astrocyte/rs77391665_count_position.png",4,220,900)</f>
        <v/>
      </c>
      <c r="T235">
        <f>IMAGE("https://mitra.stanford.edu/kundaje/oak/projects/neuro-variants/variant_position/credible/roussos_2024/variant_figures/roussos_2024.childhood.Astrocyte/rs77391665_profile_position.png",4,220,900)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-0.00527400962</v>
      </c>
      <c r="G236" t="n">
        <v>0.8094968169332682</v>
      </c>
      <c r="H236" t="n">
        <v>0.0270759668308363</v>
      </c>
      <c r="I236" t="n">
        <v>0.0432988030267361</v>
      </c>
      <c r="J236" t="n">
        <v>0.0027058383519192</v>
      </c>
      <c r="K236" t="n">
        <v>0.8317317696971367</v>
      </c>
      <c r="L236" t="b">
        <v>0</v>
      </c>
      <c r="M236" t="b">
        <v>0</v>
      </c>
      <c r="N236" t="inlineStr">
        <is>
          <t>ref</t>
        </is>
      </c>
      <c r="O236" t="n">
        <v>-5</v>
      </c>
      <c r="P236" t="n">
        <v>0.002136</v>
      </c>
      <c r="Q236" t="n">
        <v>100</v>
      </c>
      <c r="R236" t="n">
        <v>0.02676</v>
      </c>
      <c r="S236">
        <f>IMAGE("https://mitra.stanford.edu/kundaje/oak/projects/neuro-variants/variant_position/credible/roussos_2024/variant_figures/roussos_2024.childhood.Astrocyte/rs12063059_count_position.png",4,220,900)</f>
        <v/>
      </c>
      <c r="T236">
        <f>IMAGE("https://mitra.stanford.edu/kundaje/oak/projects/neuro-variants/variant_position/credible/roussos_2024/variant_figures/roussos_2024.childhood.Astrocyte/rs12063059_profile_position.png",4,220,900)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0.07394265</v>
      </c>
      <c r="G237" t="n">
        <v>0.119912050715833</v>
      </c>
      <c r="H237" t="n">
        <v>0.015834085082386</v>
      </c>
      <c r="I237" t="n">
        <v>0.2568763172363439</v>
      </c>
      <c r="J237" t="n">
        <v>0.0036568890110141</v>
      </c>
      <c r="K237" t="n">
        <v>0.8079357828489215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0.04828</v>
      </c>
      <c r="Q237" t="n">
        <v>60</v>
      </c>
      <c r="R237" t="n">
        <v>0.06238</v>
      </c>
      <c r="S237">
        <f>IMAGE("https://mitra.stanford.edu/kundaje/oak/projects/neuro-variants/variant_position/credible/roussos_2024/variant_figures/roussos_2024.childhood.Astrocyte/rs72692865_count_position.png",4,220,900)</f>
        <v/>
      </c>
      <c r="T237">
        <f>IMAGE("https://mitra.stanford.edu/kundaje/oak/projects/neuro-variants/variant_position/credible/roussos_2024/variant_figures/roussos_2024.childhood.Astrocyte/rs72692865_profile_position.png",4,220,900)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0.00195085164</v>
      </c>
      <c r="G238" t="n">
        <v>0.8613030890063276</v>
      </c>
      <c r="H238" t="n">
        <v>0.0291003564279094</v>
      </c>
      <c r="I238" t="n">
        <v>0.0335644269128167</v>
      </c>
      <c r="J238" t="n">
        <v>0.0009312053002373</v>
      </c>
      <c r="K238" t="n">
        <v>0.9068950926675068</v>
      </c>
      <c r="L238" t="b">
        <v>0</v>
      </c>
      <c r="M238" t="b">
        <v>0</v>
      </c>
      <c r="N238" t="inlineStr">
        <is>
          <t>alt</t>
        </is>
      </c>
      <c r="O238" t="n">
        <v>-100</v>
      </c>
      <c r="P238" t="n">
        <v>0.1992</v>
      </c>
      <c r="Q238" t="n">
        <v>-100</v>
      </c>
      <c r="R238" t="n">
        <v>0.1648</v>
      </c>
      <c r="S238">
        <f>IMAGE("https://mitra.stanford.edu/kundaje/oak/projects/neuro-variants/variant_position/credible/roussos_2024/variant_figures/roussos_2024.childhood.Astrocyte/rs72692866_count_position.png",4,220,900)</f>
        <v/>
      </c>
      <c r="T238">
        <f>IMAGE("https://mitra.stanford.edu/kundaje/oak/projects/neuro-variants/variant_position/credible/roussos_2024/variant_figures/roussos_2024.childhood.Astrocyte/rs72692866_profile_position.png",4,220,900)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0.00529860348</v>
      </c>
      <c r="G239" t="n">
        <v>0.5041337111443307</v>
      </c>
      <c r="H239" t="n">
        <v>0.043319405543899</v>
      </c>
      <c r="I239" t="n">
        <v>0.0070756074231327</v>
      </c>
      <c r="J239" t="n">
        <v>0.0024035782708585</v>
      </c>
      <c r="K239" t="n">
        <v>0.8443014604702272</v>
      </c>
      <c r="L239" t="b">
        <v>0</v>
      </c>
      <c r="M239" t="b">
        <v>0</v>
      </c>
      <c r="N239" t="inlineStr">
        <is>
          <t>alt</t>
        </is>
      </c>
      <c r="O239" t="n">
        <v>-70</v>
      </c>
      <c r="P239" t="n">
        <v>0.01872</v>
      </c>
      <c r="Q239" t="n">
        <v>35</v>
      </c>
      <c r="R239" t="n">
        <v>0.06665</v>
      </c>
      <c r="S239">
        <f>IMAGE("https://mitra.stanford.edu/kundaje/oak/projects/neuro-variants/variant_position/credible/roussos_2024/variant_figures/roussos_2024.childhood.Astrocyte/rs72692870_count_position.png",4,220,900)</f>
        <v/>
      </c>
      <c r="T239">
        <f>IMAGE("https://mitra.stanford.edu/kundaje/oak/projects/neuro-variants/variant_position/credible/roussos_2024/variant_figures/roussos_2024.childhood.Astrocyte/rs72692870_profile_position.png",4,220,900)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0.0255629208</v>
      </c>
      <c r="G240" t="n">
        <v>0.4284808239500105</v>
      </c>
      <c r="H240" t="n">
        <v>0.0369372716737247</v>
      </c>
      <c r="I240" t="n">
        <v>0.0133907218595392</v>
      </c>
      <c r="J240" t="n">
        <v>0.0015838122934364</v>
      </c>
      <c r="K240" t="n">
        <v>0.8756979031406842</v>
      </c>
      <c r="L240" t="b">
        <v>0</v>
      </c>
      <c r="M240" t="b">
        <v>0</v>
      </c>
      <c r="N240" t="inlineStr">
        <is>
          <t>alt</t>
        </is>
      </c>
      <c r="O240" t="n">
        <v>-100</v>
      </c>
      <c r="P240" t="n">
        <v>0.0209</v>
      </c>
      <c r="Q240" t="n">
        <v>55</v>
      </c>
      <c r="R240" t="n">
        <v>0.06365999999999999</v>
      </c>
      <c r="S240">
        <f>IMAGE("https://mitra.stanford.edu/kundaje/oak/projects/neuro-variants/variant_position/credible/roussos_2024/variant_figures/roussos_2024.childhood.Astrocyte/rs12074281_count_position.png",4,220,900)</f>
        <v/>
      </c>
      <c r="T240">
        <f>IMAGE("https://mitra.stanford.edu/kundaje/oak/projects/neuro-variants/variant_position/credible/roussos_2024/variant_figures/roussos_2024.childhood.Astrocyte/rs12074281_profile_position.png",4,220,900)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-0.0352795709999999</v>
      </c>
      <c r="G241" t="n">
        <v>0.3301700414888194</v>
      </c>
      <c r="H241" t="n">
        <v>0.0109138782031963</v>
      </c>
      <c r="I241" t="n">
        <v>0.6257911929432811</v>
      </c>
      <c r="J241" t="n">
        <v>0.0183661163395998</v>
      </c>
      <c r="K241" t="n">
        <v>0.6074810562823912</v>
      </c>
      <c r="L241" t="b">
        <v>0</v>
      </c>
      <c r="M241" t="b">
        <v>0</v>
      </c>
      <c r="N241" t="inlineStr">
        <is>
          <t>ref</t>
        </is>
      </c>
      <c r="O241" t="n">
        <v>-100</v>
      </c>
      <c r="P241" t="n">
        <v>0.03137</v>
      </c>
      <c r="Q241" t="n">
        <v>-100</v>
      </c>
      <c r="R241" t="n">
        <v>0.08935999999999999</v>
      </c>
      <c r="S241">
        <f>IMAGE("https://mitra.stanford.edu/kundaje/oak/projects/neuro-variants/variant_position/credible/roussos_2024/variant_figures/roussos_2024.childhood.Astrocyte/rs56212907_count_position.png",4,220,900)</f>
        <v/>
      </c>
      <c r="T241">
        <f>IMAGE("https://mitra.stanford.edu/kundaje/oak/projects/neuro-variants/variant_position/credible/roussos_2024/variant_figures/roussos_2024.childhood.Astrocyte/rs56212907_profile_position.png",4,220,900)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0.0159835256</v>
      </c>
      <c r="G242" t="n">
        <v>0.5872512069989098</v>
      </c>
      <c r="H242" t="n">
        <v>0.0430173857586062</v>
      </c>
      <c r="I242" t="n">
        <v>0.0074016596534842</v>
      </c>
      <c r="J242" t="n">
        <v>0.0030317602070022</v>
      </c>
      <c r="K242" t="n">
        <v>0.8337324543217516</v>
      </c>
      <c r="L242" t="b">
        <v>0</v>
      </c>
      <c r="M242" t="b">
        <v>0</v>
      </c>
      <c r="N242" t="inlineStr">
        <is>
          <t>alt</t>
        </is>
      </c>
      <c r="O242" t="n">
        <v>-75</v>
      </c>
      <c r="P242" t="n">
        <v>0.00963</v>
      </c>
      <c r="Q242" t="n">
        <v>-100</v>
      </c>
      <c r="R242" t="n">
        <v>0.04477</v>
      </c>
      <c r="S242">
        <f>IMAGE("https://mitra.stanford.edu/kundaje/oak/projects/neuro-variants/variant_position/credible/roussos_2024/variant_figures/roussos_2024.childhood.Astrocyte/rs72694905_count_position.png",4,220,900)</f>
        <v/>
      </c>
      <c r="T242">
        <f>IMAGE("https://mitra.stanford.edu/kundaje/oak/projects/neuro-variants/variant_position/credible/roussos_2024/variant_figures/roussos_2024.childhood.Astrocyte/rs72694905_profile_position.png",4,220,900)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0.1148542487999999</v>
      </c>
      <c r="G243" t="n">
        <v>0.0570426349018834</v>
      </c>
      <c r="H243" t="n">
        <v>0.0227569125595535</v>
      </c>
      <c r="I243" t="n">
        <v>0.0809387769222583</v>
      </c>
      <c r="J243" t="n">
        <v>0.0699243586514314</v>
      </c>
      <c r="K243" t="n">
        <v>0.3971612276761401</v>
      </c>
      <c r="L243" t="b">
        <v>0</v>
      </c>
      <c r="M243" t="b">
        <v>0</v>
      </c>
      <c r="N243" t="inlineStr">
        <is>
          <t>alt</t>
        </is>
      </c>
      <c r="O243" t="n">
        <v>85</v>
      </c>
      <c r="P243" t="n">
        <v>0.007683</v>
      </c>
      <c r="Q243" t="n">
        <v>15</v>
      </c>
      <c r="R243" t="n">
        <v>0.03592</v>
      </c>
      <c r="S243">
        <f>IMAGE("https://mitra.stanford.edu/kundaje/oak/projects/neuro-variants/variant_position/credible/roussos_2024/variant_figures/roussos_2024.childhood.Astrocyte/rs72694928_count_position.png",4,220,900)</f>
        <v/>
      </c>
      <c r="T243">
        <f>IMAGE("https://mitra.stanford.edu/kundaje/oak/projects/neuro-variants/variant_position/credible/roussos_2024/variant_figures/roussos_2024.childhood.Astrocyte/rs72694928_profile_position.png",4,220,900)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-0.00377185626</v>
      </c>
      <c r="G244" t="n">
        <v>0.8434266985699749</v>
      </c>
      <c r="H244" t="n">
        <v>0.0268881630768039</v>
      </c>
      <c r="I244" t="n">
        <v>0.0447831120415325</v>
      </c>
      <c r="J244" t="n">
        <v>0.0067237602375336</v>
      </c>
      <c r="K244" t="n">
        <v>0.7555411140583379</v>
      </c>
      <c r="L244" t="b">
        <v>0</v>
      </c>
      <c r="M244" t="b">
        <v>0</v>
      </c>
      <c r="N244" t="inlineStr">
        <is>
          <t>ref</t>
        </is>
      </c>
      <c r="O244" t="n">
        <v>-30</v>
      </c>
      <c r="P244" t="n">
        <v>0.00599</v>
      </c>
      <c r="Q244" t="n">
        <v>75</v>
      </c>
      <c r="R244" t="n">
        <v>0.0321</v>
      </c>
      <c r="S244">
        <f>IMAGE("https://mitra.stanford.edu/kundaje/oak/projects/neuro-variants/variant_position/credible/roussos_2024/variant_figures/roussos_2024.childhood.Astrocyte/rs56369603_count_position.png",4,220,900)</f>
        <v/>
      </c>
      <c r="T244">
        <f>IMAGE("https://mitra.stanford.edu/kundaje/oak/projects/neuro-variants/variant_position/credible/roussos_2024/variant_figures/roussos_2024.childhood.Astrocyte/rs56369603_profile_position.png",4,220,900)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-0.02262276332</v>
      </c>
      <c r="G245" t="n">
        <v>0.4923677323714959</v>
      </c>
      <c r="H245" t="n">
        <v>0.0093692670506881</v>
      </c>
      <c r="I245" t="n">
        <v>0.7822156214517056</v>
      </c>
      <c r="J245" t="n">
        <v>0.0017364689000327</v>
      </c>
      <c r="K245" t="n">
        <v>0.8659815423955203</v>
      </c>
      <c r="L245" t="b">
        <v>0</v>
      </c>
      <c r="M245" t="b">
        <v>0</v>
      </c>
      <c r="N245" t="inlineStr">
        <is>
          <t>ref</t>
        </is>
      </c>
      <c r="O245" t="n">
        <v>95</v>
      </c>
      <c r="P245" t="n">
        <v>0.01454</v>
      </c>
      <c r="Q245" t="n">
        <v>5</v>
      </c>
      <c r="R245" t="n">
        <v>0.005005</v>
      </c>
      <c r="S245">
        <f>IMAGE("https://mitra.stanford.edu/kundaje/oak/projects/neuro-variants/variant_position/credible/roussos_2024/variant_figures/roussos_2024.childhood.Astrocyte/rs72694944_count_position.png",4,220,900)</f>
        <v/>
      </c>
      <c r="T245">
        <f>IMAGE("https://mitra.stanford.edu/kundaje/oak/projects/neuro-variants/variant_position/credible/roussos_2024/variant_figures/roussos_2024.childhood.Astrocyte/rs72694944_profile_position.png",4,220,900)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0.00189679522</v>
      </c>
      <c r="G246" t="n">
        <v>0.6692976397662024</v>
      </c>
      <c r="H246" t="n">
        <v>0.0267664207199263</v>
      </c>
      <c r="I246" t="n">
        <v>0.045724059961959</v>
      </c>
      <c r="J246" t="n">
        <v>0.0004785784616793</v>
      </c>
      <c r="K246" t="n">
        <v>0.9384089793405856</v>
      </c>
      <c r="L246" t="b">
        <v>0</v>
      </c>
      <c r="M246" t="b">
        <v>0</v>
      </c>
      <c r="N246" t="inlineStr">
        <is>
          <t>alt</t>
        </is>
      </c>
      <c r="O246" t="n">
        <v>90</v>
      </c>
      <c r="P246" t="n">
        <v>0.006073</v>
      </c>
      <c r="Q246" t="n">
        <v>-100</v>
      </c>
      <c r="R246" t="n">
        <v>0.1029</v>
      </c>
      <c r="S246">
        <f>IMAGE("https://mitra.stanford.edu/kundaje/oak/projects/neuro-variants/variant_position/credible/roussos_2024/variant_figures/roussos_2024.childhood.Astrocyte/rs72694960_count_position.png",4,220,900)</f>
        <v/>
      </c>
      <c r="T246">
        <f>IMAGE("https://mitra.stanford.edu/kundaje/oak/projects/neuro-variants/variant_position/credible/roussos_2024/variant_figures/roussos_2024.childhood.Astrocyte/rs72694960_profile_position.png",4,220,900)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0.0108926848</v>
      </c>
      <c r="G247" t="n">
        <v>0.6742053767403698</v>
      </c>
      <c r="H247" t="n">
        <v>0.027766692237623</v>
      </c>
      <c r="I247" t="n">
        <v>0.0397212827186866</v>
      </c>
      <c r="J247" t="n">
        <v>0.0144107836626899</v>
      </c>
      <c r="K247" t="n">
        <v>0.6498239783584507</v>
      </c>
      <c r="L247" t="b">
        <v>0</v>
      </c>
      <c r="M247" t="b">
        <v>0</v>
      </c>
      <c r="N247" t="inlineStr">
        <is>
          <t>alt</t>
        </is>
      </c>
      <c r="O247" t="n">
        <v>-65</v>
      </c>
      <c r="P247" t="n">
        <v>0.00928</v>
      </c>
      <c r="Q247" t="n">
        <v>95</v>
      </c>
      <c r="R247" t="n">
        <v>0.2175</v>
      </c>
      <c r="S247">
        <f>IMAGE("https://mitra.stanford.edu/kundaje/oak/projects/neuro-variants/variant_position/credible/roussos_2024/variant_figures/roussos_2024.childhood.Astrocyte/rs11204824_count_position.png",4,220,900)</f>
        <v/>
      </c>
      <c r="T247">
        <f>IMAGE("https://mitra.stanford.edu/kundaje/oak/projects/neuro-variants/variant_position/credible/roussos_2024/variant_figures/roussos_2024.childhood.Astrocyte/rs11204824_profile_position.png",4,220,900)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0.01046831854</v>
      </c>
      <c r="G248" t="n">
        <v>0.6745668154013088</v>
      </c>
      <c r="H248" t="n">
        <v>0.0125527270518273</v>
      </c>
      <c r="I248" t="n">
        <v>0.4629935268990784</v>
      </c>
      <c r="J248" t="n">
        <v>0.3532054070970057</v>
      </c>
      <c r="K248" t="n">
        <v>0.1065468165440066</v>
      </c>
      <c r="L248" t="b">
        <v>0</v>
      </c>
      <c r="M248" t="b">
        <v>0</v>
      </c>
      <c r="N248" t="inlineStr">
        <is>
          <t>alt</t>
        </is>
      </c>
      <c r="O248" t="n">
        <v>20</v>
      </c>
      <c r="P248" t="n">
        <v>0.007477</v>
      </c>
      <c r="Q248" t="n">
        <v>90</v>
      </c>
      <c r="R248" t="n">
        <v>0.3345</v>
      </c>
      <c r="S248">
        <f>IMAGE("https://mitra.stanford.edu/kundaje/oak/projects/neuro-variants/variant_position/credible/roussos_2024/variant_figures/roussos_2024.childhood.Astrocyte/rs10888415_count_position.png",4,220,900)</f>
        <v/>
      </c>
      <c r="T248">
        <f>IMAGE("https://mitra.stanford.edu/kundaje/oak/projects/neuro-variants/variant_position/credible/roussos_2024/variant_figures/roussos_2024.childhood.Astrocyte/rs10888415_profile_position.png",4,220,900)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0.0307204939999999</v>
      </c>
      <c r="G249" t="n">
        <v>0.3697780845544413</v>
      </c>
      <c r="H249" t="n">
        <v>0.0592716159739852</v>
      </c>
      <c r="I249" t="n">
        <v>0.0022097388273711</v>
      </c>
      <c r="J249" t="n">
        <v>0.0299725981391159</v>
      </c>
      <c r="K249" t="n">
        <v>0.5275467809518428</v>
      </c>
      <c r="L249" t="b">
        <v>1</v>
      </c>
      <c r="M249" t="b">
        <v>0</v>
      </c>
      <c r="N249" t="inlineStr">
        <is>
          <t>alt</t>
        </is>
      </c>
      <c r="O249" t="n">
        <v>100</v>
      </c>
      <c r="P249" t="n">
        <v>0.00928</v>
      </c>
      <c r="Q249" t="n">
        <v>55</v>
      </c>
      <c r="R249" t="n">
        <v>0.0842</v>
      </c>
      <c r="S249">
        <f>IMAGE("https://mitra.stanford.edu/kundaje/oak/projects/neuro-variants/variant_position/credible/roussos_2024/variant_figures/roussos_2024.childhood.Astrocyte/rs58479084_count_position.png",4,220,900)</f>
        <v/>
      </c>
      <c r="T249">
        <f>IMAGE("https://mitra.stanford.edu/kundaje/oak/projects/neuro-variants/variant_position/credible/roussos_2024/variant_figures/roussos_2024.childhood.Astrocyte/rs58479084_profile_position.png",4,220,900)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-0.0216376464</v>
      </c>
      <c r="G250" t="n">
        <v>0.5210819876984113</v>
      </c>
      <c r="H250" t="n">
        <v>0.0521572404509217</v>
      </c>
      <c r="I250" t="n">
        <v>0.0034250098186682</v>
      </c>
      <c r="J250" t="n">
        <v>0.008699900009922599</v>
      </c>
      <c r="K250" t="n">
        <v>0.7048651669652444</v>
      </c>
      <c r="L250" t="b">
        <v>0</v>
      </c>
      <c r="M250" t="b">
        <v>0</v>
      </c>
      <c r="N250" t="inlineStr">
        <is>
          <t>ref</t>
        </is>
      </c>
      <c r="O250" t="n">
        <v>70</v>
      </c>
      <c r="P250" t="n">
        <v>0.009299999999999999</v>
      </c>
      <c r="Q250" t="n">
        <v>-30</v>
      </c>
      <c r="R250" t="n">
        <v>0.1221</v>
      </c>
      <c r="S250">
        <f>IMAGE("https://mitra.stanford.edu/kundaje/oak/projects/neuro-variants/variant_position/credible/roussos_2024/variant_figures/roussos_2024.childhood.Astrocyte/rs144529710_count_position.png",4,220,900)</f>
        <v/>
      </c>
      <c r="T250">
        <f>IMAGE("https://mitra.stanford.edu/kundaje/oak/projects/neuro-variants/variant_position/credible/roussos_2024/variant_figures/roussos_2024.childhood.Astrocyte/rs144529710_profile_position.png",4,220,900)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-0.1194134899999999</v>
      </c>
      <c r="G251" t="n">
        <v>0.0521380234485519</v>
      </c>
      <c r="H251" t="n">
        <v>0.0237741575738631</v>
      </c>
      <c r="I251" t="n">
        <v>0.0697841212602496</v>
      </c>
      <c r="J251" t="n">
        <v>0.0170479265416408</v>
      </c>
      <c r="K251" t="n">
        <v>0.6244277712906919</v>
      </c>
      <c r="L251" t="b">
        <v>0</v>
      </c>
      <c r="M251" t="b">
        <v>0</v>
      </c>
      <c r="N251" t="inlineStr">
        <is>
          <t>ref</t>
        </is>
      </c>
      <c r="O251" t="n">
        <v>65</v>
      </c>
      <c r="P251" t="n">
        <v>0.01213</v>
      </c>
      <c r="Q251" t="n">
        <v>45</v>
      </c>
      <c r="R251" t="n">
        <v>0.09180000000000001</v>
      </c>
      <c r="S251">
        <f>IMAGE("https://mitra.stanford.edu/kundaje/oak/projects/neuro-variants/variant_position/credible/roussos_2024/variant_figures/roussos_2024.childhood.Astrocyte/rs6690942_count_position.png",4,220,900)</f>
        <v/>
      </c>
      <c r="T251">
        <f>IMAGE("https://mitra.stanford.edu/kundaje/oak/projects/neuro-variants/variant_position/credible/roussos_2024/variant_figures/roussos_2024.childhood.Astrocyte/rs6690942_profile_position.png",4,220,900)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-0.0137737674</v>
      </c>
      <c r="G252" t="n">
        <v>0.624594326202876</v>
      </c>
      <c r="H252" t="n">
        <v>0.0128534919068638</v>
      </c>
      <c r="I252" t="n">
        <v>0.4420626756690243</v>
      </c>
      <c r="J252" t="n">
        <v>0.3056612702556235</v>
      </c>
      <c r="K252" t="n">
        <v>0.1291299989637818</v>
      </c>
      <c r="L252" t="b">
        <v>0</v>
      </c>
      <c r="M252" t="b">
        <v>0</v>
      </c>
      <c r="N252" t="inlineStr">
        <is>
          <t>ref</t>
        </is>
      </c>
      <c r="O252" t="n">
        <v>100</v>
      </c>
      <c r="P252" t="n">
        <v>0.006607</v>
      </c>
      <c r="Q252" t="n">
        <v>100</v>
      </c>
      <c r="R252" t="n">
        <v>0.3357</v>
      </c>
      <c r="S252">
        <f>IMAGE("https://mitra.stanford.edu/kundaje/oak/projects/neuro-variants/variant_position/credible/roussos_2024/variant_figures/roussos_2024.childhood.Astrocyte/rs2280473_count_position.png",4,220,900)</f>
        <v/>
      </c>
      <c r="T252">
        <f>IMAGE("https://mitra.stanford.edu/kundaje/oak/projects/neuro-variants/variant_position/credible/roussos_2024/variant_figures/roussos_2024.childhood.Astrocyte/rs2280473_profile_position.png",4,220,900)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-0.0150497043639999</v>
      </c>
      <c r="G253" t="n">
        <v>0.6203048795914355</v>
      </c>
      <c r="H253" t="n">
        <v>0.0317337742417617</v>
      </c>
      <c r="I253" t="n">
        <v>0.0238023555358604</v>
      </c>
      <c r="J253" t="n">
        <v>0.0156030317602069</v>
      </c>
      <c r="K253" t="n">
        <v>0.6299045525817242</v>
      </c>
      <c r="L253" t="b">
        <v>0</v>
      </c>
      <c r="M253" t="b">
        <v>0</v>
      </c>
      <c r="N253" t="inlineStr">
        <is>
          <t>ref</t>
        </is>
      </c>
      <c r="O253" t="n">
        <v>-80</v>
      </c>
      <c r="P253" t="n">
        <v>0.00586</v>
      </c>
      <c r="Q253" t="n">
        <v>-50</v>
      </c>
      <c r="R253" t="n">
        <v>0.08875</v>
      </c>
      <c r="S253">
        <f>IMAGE("https://mitra.stanford.edu/kundaje/oak/projects/neuro-variants/variant_position/credible/roussos_2024/variant_figures/roussos_2024.childhood.Astrocyte/rs11800001_count_position.png",4,220,900)</f>
        <v/>
      </c>
      <c r="T253">
        <f>IMAGE("https://mitra.stanford.edu/kundaje/oak/projects/neuro-variants/variant_position/credible/roussos_2024/variant_figures/roussos_2024.childhood.Astrocyte/rs11800001_profile_position.png",4,220,900)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-0.0550858575999999</v>
      </c>
      <c r="G254" t="n">
        <v>0.1941665463826467</v>
      </c>
      <c r="H254" t="n">
        <v>0.0127001067422382</v>
      </c>
      <c r="I254" t="n">
        <v>0.4538719443841926</v>
      </c>
      <c r="J254" t="n">
        <v>0.0053307687023424</v>
      </c>
      <c r="K254" t="n">
        <v>0.7676238346042827</v>
      </c>
      <c r="L254" t="b">
        <v>0</v>
      </c>
      <c r="M254" t="b">
        <v>0</v>
      </c>
      <c r="N254" t="inlineStr">
        <is>
          <t>ref</t>
        </is>
      </c>
      <c r="O254" t="n">
        <v>100</v>
      </c>
      <c r="P254" t="n">
        <v>0.009155</v>
      </c>
      <c r="Q254" t="n">
        <v>85</v>
      </c>
      <c r="R254" t="n">
        <v>0.141</v>
      </c>
      <c r="S254">
        <f>IMAGE("https://mitra.stanford.edu/kundaje/oak/projects/neuro-variants/variant_position/credible/roussos_2024/variant_figures/roussos_2024.childhood.Astrocyte/rs11264559_count_position.png",4,220,900)</f>
        <v/>
      </c>
      <c r="T254">
        <f>IMAGE("https://mitra.stanford.edu/kundaje/oak/projects/neuro-variants/variant_position/credible/roussos_2024/variant_figures/roussos_2024.childhood.Astrocyte/rs11264559_profile_position.png",4,220,900)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-0.0722295008</v>
      </c>
      <c r="G255" t="n">
        <v>0.1265467941230824</v>
      </c>
      <c r="H255" t="n">
        <v>0.0138450224966924</v>
      </c>
      <c r="I255" t="n">
        <v>0.3661486282329996</v>
      </c>
      <c r="J255" t="n">
        <v>0.0053651164388266</v>
      </c>
      <c r="K255" t="n">
        <v>0.7629747971314158</v>
      </c>
      <c r="L255" t="b">
        <v>0</v>
      </c>
      <c r="M255" t="b">
        <v>0</v>
      </c>
      <c r="N255" t="inlineStr">
        <is>
          <t>ref</t>
        </is>
      </c>
      <c r="O255" t="n">
        <v>100</v>
      </c>
      <c r="P255" t="n">
        <v>0.005875</v>
      </c>
      <c r="Q255" t="n">
        <v>-65</v>
      </c>
      <c r="R255" t="n">
        <v>0.07153</v>
      </c>
      <c r="S255">
        <f>IMAGE("https://mitra.stanford.edu/kundaje/oak/projects/neuro-variants/variant_position/credible/roussos_2024/variant_figures/roussos_2024.childhood.Astrocyte/rs6671132_count_position.png",4,220,900)</f>
        <v/>
      </c>
      <c r="T255">
        <f>IMAGE("https://mitra.stanford.edu/kundaje/oak/projects/neuro-variants/variant_position/credible/roussos_2024/variant_figures/roussos_2024.childhood.Astrocyte/rs6671132_profile_position.png",4,220,900)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-0.1532248314</v>
      </c>
      <c r="G256" t="n">
        <v>0.0436797006896449</v>
      </c>
      <c r="H256" t="n">
        <v>0.0223217402850736</v>
      </c>
      <c r="I256" t="n">
        <v>0.0934051052700645</v>
      </c>
      <c r="J256" t="n">
        <v>0.0111370627342324</v>
      </c>
      <c r="K256" t="n">
        <v>0.7074738330589866</v>
      </c>
      <c r="L256" t="b">
        <v>0</v>
      </c>
      <c r="M256" t="b">
        <v>0</v>
      </c>
      <c r="N256" t="inlineStr">
        <is>
          <t>ref</t>
        </is>
      </c>
      <c r="O256" t="n">
        <v>-55</v>
      </c>
      <c r="P256" t="n">
        <v>0.00537</v>
      </c>
      <c r="Q256" t="n">
        <v>15</v>
      </c>
      <c r="R256" t="n">
        <v>0.03333</v>
      </c>
      <c r="S256">
        <f>IMAGE("https://mitra.stanford.edu/kundaje/oak/projects/neuro-variants/variant_position/credible/roussos_2024/variant_figures/roussos_2024.childhood.Astrocyte/rs10908525_count_position.png",4,220,900)</f>
        <v/>
      </c>
      <c r="T256">
        <f>IMAGE("https://mitra.stanford.edu/kundaje/oak/projects/neuro-variants/variant_position/credible/roussos_2024/variant_figures/roussos_2024.childhood.Astrocyte/rs10908525_profile_position.png",4,220,900)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0.183367562</v>
      </c>
      <c r="G257" t="n">
        <v>0.0194986675593256</v>
      </c>
      <c r="H257" t="n">
        <v>0.0234997460596692</v>
      </c>
      <c r="I257" t="n">
        <v>0.0830307388388212</v>
      </c>
      <c r="J257" t="n">
        <v>0.8061902253974796</v>
      </c>
      <c r="K257" t="n">
        <v>0.0078340239094028</v>
      </c>
      <c r="L257" t="b">
        <v>1</v>
      </c>
      <c r="M257" t="b">
        <v>0</v>
      </c>
      <c r="N257" t="inlineStr">
        <is>
          <t>alt</t>
        </is>
      </c>
      <c r="O257" t="n">
        <v>100</v>
      </c>
      <c r="P257" t="n">
        <v>0.00804</v>
      </c>
      <c r="Q257" t="n">
        <v>-45</v>
      </c>
      <c r="R257" t="n">
        <v>0.0709</v>
      </c>
      <c r="S257">
        <f>IMAGE("https://mitra.stanford.edu/kundaje/oak/projects/neuro-variants/variant_position/credible/roussos_2024/variant_figures/roussos_2024.childhood.Astrocyte/rs4845357_count_position.png",4,220,900)</f>
        <v/>
      </c>
      <c r="T257">
        <f>IMAGE("https://mitra.stanford.edu/kundaje/oak/projects/neuro-variants/variant_position/credible/roussos_2024/variant_figures/roussos_2024.childhood.Astrocyte/rs4845357_profile_position.png",4,220,900)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0.0264099226</v>
      </c>
      <c r="G258" t="n">
        <v>0.4175651353002413</v>
      </c>
      <c r="H258" t="n">
        <v>0.0351959345692766</v>
      </c>
      <c r="I258" t="n">
        <v>0.0186143277223515</v>
      </c>
      <c r="J258" t="n">
        <v>0.009013609336478001</v>
      </c>
      <c r="K258" t="n">
        <v>0.708694112408535</v>
      </c>
      <c r="L258" t="b">
        <v>0</v>
      </c>
      <c r="M258" t="b">
        <v>0</v>
      </c>
      <c r="N258" t="inlineStr">
        <is>
          <t>alt</t>
        </is>
      </c>
      <c r="O258" t="n">
        <v>-100</v>
      </c>
      <c r="P258" t="n">
        <v>0.02393</v>
      </c>
      <c r="Q258" t="n">
        <v>65</v>
      </c>
      <c r="R258" t="n">
        <v>0.0625</v>
      </c>
      <c r="S258">
        <f>IMAGE("https://mitra.stanford.edu/kundaje/oak/projects/neuro-variants/variant_position/credible/roussos_2024/variant_figures/roussos_2024.childhood.Astrocyte/rs10796968_count_position.png",4,220,900)</f>
        <v/>
      </c>
      <c r="T258">
        <f>IMAGE("https://mitra.stanford.edu/kundaje/oak/projects/neuro-variants/variant_position/credible/roussos_2024/variant_figures/roussos_2024.childhood.Astrocyte/rs10796968_profile_position.png",4,220,900)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0.014421875</v>
      </c>
      <c r="G259" t="n">
        <v>0.6060033356677245</v>
      </c>
      <c r="H259" t="n">
        <v>0.024486425538729</v>
      </c>
      <c r="I259" t="n">
        <v>0.06341521777388601</v>
      </c>
      <c r="J259" t="n">
        <v>0.5899819101921183</v>
      </c>
      <c r="K259" t="n">
        <v>0.035743264189801</v>
      </c>
      <c r="L259" t="b">
        <v>0</v>
      </c>
      <c r="M259" t="b">
        <v>0</v>
      </c>
      <c r="N259" t="inlineStr">
        <is>
          <t>alt</t>
        </is>
      </c>
      <c r="O259" t="n">
        <v>100</v>
      </c>
      <c r="P259" t="n">
        <v>0.01907</v>
      </c>
      <c r="Q259" t="n">
        <v>100</v>
      </c>
      <c r="R259" t="n">
        <v>0.1678</v>
      </c>
      <c r="S259">
        <f>IMAGE("https://mitra.stanford.edu/kundaje/oak/projects/neuro-variants/variant_position/credible/roussos_2024/variant_figures/roussos_2024.childhood.Astrocyte/rs3748848_count_position.png",4,220,900)</f>
        <v/>
      </c>
      <c r="T259">
        <f>IMAGE("https://mitra.stanford.edu/kundaje/oak/projects/neuro-variants/variant_position/credible/roussos_2024/variant_figures/roussos_2024.childhood.Astrocyte/rs3748848_profile_position.png",4,220,900)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-0.0115077486</v>
      </c>
      <c r="G260" t="n">
        <v>0.5563838234768387</v>
      </c>
      <c r="H260" t="n">
        <v>0.0172292215590775</v>
      </c>
      <c r="I260" t="n">
        <v>0.2030208665479343</v>
      </c>
      <c r="J260" t="n">
        <v>0.0172845442818651</v>
      </c>
      <c r="K260" t="n">
        <v>0.6150536124373155</v>
      </c>
      <c r="L260" t="b">
        <v>0</v>
      </c>
      <c r="M260" t="b">
        <v>0</v>
      </c>
      <c r="N260" t="inlineStr">
        <is>
          <t>ref</t>
        </is>
      </c>
      <c r="O260" t="n">
        <v>-100</v>
      </c>
      <c r="P260" t="n">
        <v>0.02133</v>
      </c>
      <c r="Q260" t="n">
        <v>35</v>
      </c>
      <c r="R260" t="n">
        <v>0.06714000000000001</v>
      </c>
      <c r="S260">
        <f>IMAGE("https://mitra.stanford.edu/kundaje/oak/projects/neuro-variants/variant_position/credible/roussos_2024/variant_figures/roussos_2024.childhood.Astrocyte/rs11586593_count_position.png",4,220,900)</f>
        <v/>
      </c>
      <c r="T260">
        <f>IMAGE("https://mitra.stanford.edu/kundaje/oak/projects/neuro-variants/variant_position/credible/roussos_2024/variant_figures/roussos_2024.childhood.Astrocyte/rs11586593_profile_position.png",4,220,900)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0.0297428287199999</v>
      </c>
      <c r="G261" t="n">
        <v>0.4148523438264799</v>
      </c>
      <c r="H261" t="n">
        <v>0.0100955650070633</v>
      </c>
      <c r="I261" t="n">
        <v>0.6798452804357297</v>
      </c>
      <c r="J261" t="n">
        <v>0.5026005052933679</v>
      </c>
      <c r="K261" t="n">
        <v>0.0555511125517111</v>
      </c>
      <c r="L261" t="b">
        <v>0</v>
      </c>
      <c r="M261" t="b">
        <v>0</v>
      </c>
      <c r="N261" t="inlineStr">
        <is>
          <t>alt</t>
        </is>
      </c>
      <c r="O261" t="n">
        <v>80</v>
      </c>
      <c r="P261" t="n">
        <v>0.016</v>
      </c>
      <c r="Q261" t="n">
        <v>-100</v>
      </c>
      <c r="R261" t="n">
        <v>0.1046</v>
      </c>
      <c r="S261">
        <f>IMAGE("https://mitra.stanford.edu/kundaje/oak/projects/neuro-variants/variant_position/credible/roussos_2024/variant_figures/roussos_2024.childhood.Astrocyte/rs946682_count_position.png",4,220,900)</f>
        <v/>
      </c>
      <c r="T261">
        <f>IMAGE("https://mitra.stanford.edu/kundaje/oak/projects/neuro-variants/variant_position/credible/roussos_2024/variant_figures/roussos_2024.childhood.Astrocyte/rs946682_profile_position.png",4,220,900)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0.0230285651999999</v>
      </c>
      <c r="G262" t="n">
        <v>0.4696796980265222</v>
      </c>
      <c r="H262" t="n">
        <v>0.0124763449493008</v>
      </c>
      <c r="I262" t="n">
        <v>0.4655488096594642</v>
      </c>
      <c r="J262" t="n">
        <v>0.0002579896651477</v>
      </c>
      <c r="K262" t="n">
        <v>0.9749134383589628</v>
      </c>
      <c r="L262" t="b">
        <v>0</v>
      </c>
      <c r="M262" t="b">
        <v>0</v>
      </c>
      <c r="N262" t="inlineStr">
        <is>
          <t>alt</t>
        </is>
      </c>
      <c r="O262" t="n">
        <v>45</v>
      </c>
      <c r="P262" t="n">
        <v>0.005867</v>
      </c>
      <c r="Q262" t="n">
        <v>-100</v>
      </c>
      <c r="R262" t="n">
        <v>0.0965</v>
      </c>
      <c r="S262">
        <f>IMAGE("https://mitra.stanford.edu/kundaje/oak/projects/neuro-variants/variant_position/credible/roussos_2024/variant_figures/roussos_2024.childhood.Astrocyte/rs10737494_count_position.png",4,220,900)</f>
        <v/>
      </c>
      <c r="T262">
        <f>IMAGE("https://mitra.stanford.edu/kundaje/oak/projects/neuro-variants/variant_position/credible/roussos_2024/variant_figures/roussos_2024.childhood.Astrocyte/rs10737494_profile_position.png",4,220,900)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0.0099655969</v>
      </c>
      <c r="G263" t="n">
        <v>0.724338672538449</v>
      </c>
      <c r="H263" t="n">
        <v>0.0294895758244692</v>
      </c>
      <c r="I263" t="n">
        <v>0.0321931368679348</v>
      </c>
      <c r="J263" t="n">
        <v>0.0012418614946608</v>
      </c>
      <c r="K263" t="n">
        <v>0.9203792429319866</v>
      </c>
      <c r="L263" t="b">
        <v>0</v>
      </c>
      <c r="M263" t="b">
        <v>0</v>
      </c>
      <c r="N263" t="inlineStr">
        <is>
          <t>alt</t>
        </is>
      </c>
      <c r="O263" t="n">
        <v>100</v>
      </c>
      <c r="P263" t="n">
        <v>0.008359999999999999</v>
      </c>
      <c r="Q263" t="n">
        <v>-100</v>
      </c>
      <c r="R263" t="n">
        <v>0.2045</v>
      </c>
      <c r="S263">
        <f>IMAGE("https://mitra.stanford.edu/kundaje/oak/projects/neuro-variants/variant_position/credible/roussos_2024/variant_figures/roussos_2024.childhood.Astrocyte/rs3963479_count_position.png",4,220,900)</f>
        <v/>
      </c>
      <c r="T263">
        <f>IMAGE("https://mitra.stanford.edu/kundaje/oak/projects/neuro-variants/variant_position/credible/roussos_2024/variant_figures/roussos_2024.childhood.Astrocyte/rs3963479_profile_position.png",4,220,900)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0.06814743600000001</v>
      </c>
      <c r="G264" t="n">
        <v>0.1401967821188453</v>
      </c>
      <c r="H264" t="n">
        <v>0.0260394652857944</v>
      </c>
      <c r="I264" t="n">
        <v>0.0506731074813326</v>
      </c>
      <c r="J264" t="n">
        <v>0.5287834031737308</v>
      </c>
      <c r="K264" t="n">
        <v>0.0488791079634177</v>
      </c>
      <c r="L264" t="b">
        <v>0</v>
      </c>
      <c r="M264" t="b">
        <v>0</v>
      </c>
      <c r="N264" t="inlineStr">
        <is>
          <t>alt</t>
        </is>
      </c>
      <c r="O264" t="n">
        <v>-90</v>
      </c>
      <c r="P264" t="n">
        <v>0.004753</v>
      </c>
      <c r="Q264" t="n">
        <v>100</v>
      </c>
      <c r="R264" t="n">
        <v>0.2319</v>
      </c>
      <c r="S264">
        <f>IMAGE("https://mitra.stanford.edu/kundaje/oak/projects/neuro-variants/variant_position/credible/roussos_2024/variant_figures/roussos_2024.childhood.Astrocyte/rs1932355_count_position.png",4,220,900)</f>
        <v/>
      </c>
      <c r="T264">
        <f>IMAGE("https://mitra.stanford.edu/kundaje/oak/projects/neuro-variants/variant_position/credible/roussos_2024/variant_figures/roussos_2024.childhood.Astrocyte/rs1932355_profile_position.png",4,220,900)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0.00864244414</v>
      </c>
      <c r="G265" t="n">
        <v>0.7174358909819267</v>
      </c>
      <c r="H265" t="n">
        <v>0.0264238448843968</v>
      </c>
      <c r="I265" t="n">
        <v>0.0481399082337671</v>
      </c>
      <c r="J265" t="n">
        <v>0.0001831879279155</v>
      </c>
      <c r="K265" t="n">
        <v>0.9806442877859148</v>
      </c>
      <c r="L265" t="b">
        <v>0</v>
      </c>
      <c r="M265" t="b">
        <v>0</v>
      </c>
      <c r="N265" t="inlineStr">
        <is>
          <t>alt</t>
        </is>
      </c>
      <c r="O265" t="n">
        <v>100</v>
      </c>
      <c r="P265" t="n">
        <v>0.00304</v>
      </c>
      <c r="Q265" t="n">
        <v>-100</v>
      </c>
      <c r="R265" t="n">
        <v>0.1584</v>
      </c>
      <c r="S265">
        <f>IMAGE("https://mitra.stanford.edu/kundaje/oak/projects/neuro-variants/variant_position/credible/roussos_2024/variant_figures/roussos_2024.childhood.Astrocyte/rs6683086_count_position.png",4,220,900)</f>
        <v/>
      </c>
      <c r="T265">
        <f>IMAGE("https://mitra.stanford.edu/kundaje/oak/projects/neuro-variants/variant_position/credible/roussos_2024/variant_figures/roussos_2024.childhood.Astrocyte/rs6683086_profile_position.png",4,220,900)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-0.0096027063</v>
      </c>
      <c r="G266" t="n">
        <v>0.7110574740830347</v>
      </c>
      <c r="H266" t="n">
        <v>0.0336115944597073</v>
      </c>
      <c r="I266" t="n">
        <v>0.0193693370852569</v>
      </c>
      <c r="J266" t="n">
        <v>0.0002747818918732</v>
      </c>
      <c r="K266" t="n">
        <v>0.9669183288155468</v>
      </c>
      <c r="L266" t="b">
        <v>0</v>
      </c>
      <c r="M266" t="b">
        <v>0</v>
      </c>
      <c r="N266" t="inlineStr">
        <is>
          <t>ref</t>
        </is>
      </c>
      <c r="O266" t="n">
        <v>-40</v>
      </c>
      <c r="P266" t="n">
        <v>0.0004883</v>
      </c>
      <c r="Q266" t="n">
        <v>5</v>
      </c>
      <c r="R266" t="n">
        <v>0.01074</v>
      </c>
      <c r="S266">
        <f>IMAGE("https://mitra.stanford.edu/kundaje/oak/projects/neuro-variants/variant_position/credible/roussos_2024/variant_figures/roussos_2024.childhood.Astrocyte/rs1934230_count_position.png",4,220,900)</f>
        <v/>
      </c>
      <c r="T266">
        <f>IMAGE("https://mitra.stanford.edu/kundaje/oak/projects/neuro-variants/variant_position/credible/roussos_2024/variant_figures/roussos_2024.childhood.Astrocyte/rs1934230_profile_position.png",4,220,900)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0.0980117262</v>
      </c>
      <c r="G267" t="n">
        <v>0.0728138702218858</v>
      </c>
      <c r="H267" t="n">
        <v>0.009860613191817</v>
      </c>
      <c r="I267" t="n">
        <v>0.7338268940169527</v>
      </c>
      <c r="J267" t="n">
        <v>0.1285612878111332</v>
      </c>
      <c r="K267" t="n">
        <v>0.2841282352332086</v>
      </c>
      <c r="L267" t="b">
        <v>0</v>
      </c>
      <c r="M267" t="b">
        <v>0</v>
      </c>
      <c r="N267" t="inlineStr">
        <is>
          <t>alt</t>
        </is>
      </c>
      <c r="O267" t="n">
        <v>-5</v>
      </c>
      <c r="P267" t="n">
        <v>0.0008545</v>
      </c>
      <c r="Q267" t="n">
        <v>5</v>
      </c>
      <c r="R267" t="n">
        <v>0.011475</v>
      </c>
      <c r="S267">
        <f>IMAGE("https://mitra.stanford.edu/kundaje/oak/projects/neuro-variants/variant_position/credible/roussos_2024/variant_figures/roussos_2024.childhood.Astrocyte/rs10799961_count_position.png",4,220,900)</f>
        <v/>
      </c>
      <c r="T267">
        <f>IMAGE("https://mitra.stanford.edu/kundaje/oak/projects/neuro-variants/variant_position/credible/roussos_2024/variant_figures/roussos_2024.childhood.Astrocyte/rs10799961_profile_position.png",4,220,900)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-0.0208212178</v>
      </c>
      <c r="G268" t="n">
        <v>0.5174989180748689</v>
      </c>
      <c r="H268" t="n">
        <v>0.0398181335688253</v>
      </c>
      <c r="I268" t="n">
        <v>0.0098854267158235</v>
      </c>
      <c r="J268" t="n">
        <v>0.0248563119690412</v>
      </c>
      <c r="K268" t="n">
        <v>0.5768674805515386</v>
      </c>
      <c r="L268" t="b">
        <v>1</v>
      </c>
      <c r="M268" t="b">
        <v>0</v>
      </c>
      <c r="N268" t="inlineStr">
        <is>
          <t>ref</t>
        </is>
      </c>
      <c r="O268" t="n">
        <v>-10</v>
      </c>
      <c r="P268" t="n">
        <v>0.001862</v>
      </c>
      <c r="Q268" t="n">
        <v>-100</v>
      </c>
      <c r="R268" t="n">
        <v>0.04474</v>
      </c>
      <c r="S268">
        <f>IMAGE("https://mitra.stanford.edu/kundaje/oak/projects/neuro-variants/variant_position/credible/roussos_2024/variant_figures/roussos_2024.childhood.Astrocyte/rs3856207_count_position.png",4,220,900)</f>
        <v/>
      </c>
      <c r="T268">
        <f>IMAGE("https://mitra.stanford.edu/kundaje/oak/projects/neuro-variants/variant_position/credible/roussos_2024/variant_figures/roussos_2024.childhood.Astrocyte/rs3856207_profile_position.png",4,220,900)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-0.0115614882</v>
      </c>
      <c r="G269" t="n">
        <v>0.6313338184669038</v>
      </c>
      <c r="H269" t="n">
        <v>0.0169960918525036</v>
      </c>
      <c r="I269" t="n">
        <v>0.2091074560010912</v>
      </c>
      <c r="J269" t="n">
        <v>0.0003595063085342</v>
      </c>
      <c r="K269" t="n">
        <v>0.9495929722917534</v>
      </c>
      <c r="L269" t="b">
        <v>0</v>
      </c>
      <c r="M269" t="b">
        <v>0</v>
      </c>
      <c r="N269" t="inlineStr">
        <is>
          <t>ref</t>
        </is>
      </c>
      <c r="O269" t="n">
        <v>-100</v>
      </c>
      <c r="P269" t="n">
        <v>0.143</v>
      </c>
      <c r="Q269" t="n">
        <v>90</v>
      </c>
      <c r="R269" t="n">
        <v>0.1433</v>
      </c>
      <c r="S269">
        <f>IMAGE("https://mitra.stanford.edu/kundaje/oak/projects/neuro-variants/variant_position/credible/roussos_2024/variant_figures/roussos_2024.childhood.Astrocyte/rs969029_count_position.png",4,220,900)</f>
        <v/>
      </c>
      <c r="T269">
        <f>IMAGE("https://mitra.stanford.edu/kundaje/oak/projects/neuro-variants/variant_position/credible/roussos_2024/variant_figures/roussos_2024.childhood.Astrocyte/rs969029_profile_position.png",4,220,900)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-0.0278899362</v>
      </c>
      <c r="G270" t="n">
        <v>0.4254832856426521</v>
      </c>
      <c r="H270" t="n">
        <v>0.028945210240001</v>
      </c>
      <c r="I270" t="n">
        <v>0.0338707772094367</v>
      </c>
      <c r="J270" t="n">
        <v>0.0169311442375946</v>
      </c>
      <c r="K270" t="n">
        <v>0.6204329226486589</v>
      </c>
      <c r="L270" t="b">
        <v>0</v>
      </c>
      <c r="M270" t="b">
        <v>0</v>
      </c>
      <c r="N270" t="inlineStr">
        <is>
          <t>ref</t>
        </is>
      </c>
      <c r="O270" t="n">
        <v>60</v>
      </c>
      <c r="P270" t="n">
        <v>0.0083</v>
      </c>
      <c r="Q270" t="n">
        <v>95</v>
      </c>
      <c r="R270" t="n">
        <v>0.11676</v>
      </c>
      <c r="S270">
        <f>IMAGE("https://mitra.stanford.edu/kundaje/oak/projects/neuro-variants/variant_position/credible/roussos_2024/variant_figures/roussos_2024.childhood.Astrocyte/rs61826814_count_position.png",4,220,900)</f>
        <v/>
      </c>
      <c r="T270">
        <f>IMAGE("https://mitra.stanford.edu/kundaje/oak/projects/neuro-variants/variant_position/credible/roussos_2024/variant_figures/roussos_2024.childhood.Astrocyte/rs61826814_profile_position.png",4,220,900)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-0.0450797936599999</v>
      </c>
      <c r="G271" t="n">
        <v>0.2479346079727506</v>
      </c>
      <c r="H271" t="n">
        <v>0.0132662168132991</v>
      </c>
      <c r="I271" t="n">
        <v>0.4085081445817963</v>
      </c>
      <c r="J271" t="n">
        <v>0.0375390228450611</v>
      </c>
      <c r="K271" t="n">
        <v>0.4972738233202081</v>
      </c>
      <c r="L271" t="b">
        <v>0</v>
      </c>
      <c r="M271" t="b">
        <v>0</v>
      </c>
      <c r="N271" t="inlineStr">
        <is>
          <t>ref</t>
        </is>
      </c>
      <c r="O271" t="n">
        <v>-35</v>
      </c>
      <c r="P271" t="n">
        <v>0.006847</v>
      </c>
      <c r="Q271" t="n">
        <v>-25</v>
      </c>
      <c r="R271" t="n">
        <v>0.03198</v>
      </c>
      <c r="S271">
        <f>IMAGE("https://mitra.stanford.edu/kundaje/oak/projects/neuro-variants/variant_position/credible/roussos_2024/variant_figures/roussos_2024.childhood.Astrocyte/rs61827870_count_position.png",4,220,900)</f>
        <v/>
      </c>
      <c r="T271">
        <f>IMAGE("https://mitra.stanford.edu/kundaje/oak/projects/neuro-variants/variant_position/credible/roussos_2024/variant_figures/roussos_2024.childhood.Astrocyte/rs61827870_profile_position.png",4,220,900)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-0.0224781429799999</v>
      </c>
      <c r="G272" t="n">
        <v>0.3242163054967659</v>
      </c>
      <c r="H272" t="n">
        <v>0.0112037626312605</v>
      </c>
      <c r="I272" t="n">
        <v>0.5650953827632924</v>
      </c>
      <c r="J272" t="n">
        <v>0.0014487111965987</v>
      </c>
      <c r="K272" t="n">
        <v>0.8878967600364799</v>
      </c>
      <c r="L272" t="b">
        <v>0</v>
      </c>
      <c r="M272" t="b">
        <v>0</v>
      </c>
      <c r="N272" t="inlineStr">
        <is>
          <t>ref</t>
        </is>
      </c>
      <c r="O272" t="n">
        <v>80</v>
      </c>
      <c r="P272" t="n">
        <v>0.2301</v>
      </c>
      <c r="Q272" t="n">
        <v>85</v>
      </c>
      <c r="R272" t="n">
        <v>0.2217</v>
      </c>
      <c r="S272">
        <f>IMAGE("https://mitra.stanford.edu/kundaje/oak/projects/neuro-variants/variant_position/credible/roussos_2024/variant_figures/roussos_2024.childhood.Astrocyte/rs28804123_count_position.png",4,220,900)</f>
        <v/>
      </c>
      <c r="T272">
        <f>IMAGE("https://mitra.stanford.edu/kundaje/oak/projects/neuro-variants/variant_position/credible/roussos_2024/variant_figures/roussos_2024.childhood.Astrocyte/rs28804123_profile_position.png",4,220,900)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0.02404635806</v>
      </c>
      <c r="G273" t="n">
        <v>0.461600761774689</v>
      </c>
      <c r="H273" t="n">
        <v>0.0363435927963779</v>
      </c>
      <c r="I273" t="n">
        <v>0.0151629469500277</v>
      </c>
      <c r="J273" t="n">
        <v>0.0584117606649721</v>
      </c>
      <c r="K273" t="n">
        <v>0.4191740986308469</v>
      </c>
      <c r="L273" t="b">
        <v>1</v>
      </c>
      <c r="M273" t="b">
        <v>0</v>
      </c>
      <c r="N273" t="inlineStr">
        <is>
          <t>alt</t>
        </is>
      </c>
      <c r="O273" t="n">
        <v>75</v>
      </c>
      <c r="P273" t="n">
        <v>0.03293</v>
      </c>
      <c r="Q273" t="n">
        <v>40</v>
      </c>
      <c r="R273" t="n">
        <v>0.1008</v>
      </c>
      <c r="S273">
        <f>IMAGE("https://mitra.stanford.edu/kundaje/oak/projects/neuro-variants/variant_position/credible/roussos_2024/variant_figures/roussos_2024.childhood.Astrocyte/rs9425757_count_position.png",4,220,900)</f>
        <v/>
      </c>
      <c r="T273">
        <f>IMAGE("https://mitra.stanford.edu/kundaje/oak/projects/neuro-variants/variant_position/credible/roussos_2024/variant_figures/roussos_2024.childhood.Astrocyte/rs9425757_profile_position.png",4,220,900)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0.0408251607999999</v>
      </c>
      <c r="G274" t="n">
        <v>0.2382181228439468</v>
      </c>
      <c r="H274" t="n">
        <v>0.014114472680625</v>
      </c>
      <c r="I274" t="n">
        <v>0.3542691522796229</v>
      </c>
      <c r="J274" t="n">
        <v>0.0091517635654476</v>
      </c>
      <c r="K274" t="n">
        <v>0.704292688181311</v>
      </c>
      <c r="L274" t="b">
        <v>0</v>
      </c>
      <c r="M274" t="b">
        <v>0</v>
      </c>
      <c r="N274" t="inlineStr">
        <is>
          <t>alt</t>
        </is>
      </c>
      <c r="O274" t="n">
        <v>100</v>
      </c>
      <c r="P274" t="n">
        <v>0.11786</v>
      </c>
      <c r="Q274" t="n">
        <v>100</v>
      </c>
      <c r="R274" t="n">
        <v>0.11975</v>
      </c>
      <c r="S274">
        <f>IMAGE("https://mitra.stanford.edu/kundaje/oak/projects/neuro-variants/variant_position/credible/roussos_2024/variant_figures/roussos_2024.childhood.Astrocyte/rs9425765_count_position.png",4,220,900)</f>
        <v/>
      </c>
      <c r="T274">
        <f>IMAGE("https://mitra.stanford.edu/kundaje/oak/projects/neuro-variants/variant_position/credible/roussos_2024/variant_figures/roussos_2024.childhood.Astrocyte/rs9425765_profile_position.png",4,220,900)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-0.0080838609351999</v>
      </c>
      <c r="G275" t="n">
        <v>0.7796289376345132</v>
      </c>
      <c r="H275" t="n">
        <v>0.0253546086096989</v>
      </c>
      <c r="I275" t="n">
        <v>0.0570760001195817</v>
      </c>
      <c r="J275" t="n">
        <v>0.0069328997885705</v>
      </c>
      <c r="K275" t="n">
        <v>0.7384897452004461</v>
      </c>
      <c r="L275" t="b">
        <v>0</v>
      </c>
      <c r="M275" t="b">
        <v>0</v>
      </c>
      <c r="N275" t="inlineStr">
        <is>
          <t>ref</t>
        </is>
      </c>
      <c r="O275" t="n">
        <v>45</v>
      </c>
      <c r="P275" t="n">
        <v>0.00598</v>
      </c>
      <c r="Q275" t="n">
        <v>-100</v>
      </c>
      <c r="R275" t="n">
        <v>0.05298</v>
      </c>
      <c r="S275">
        <f>IMAGE("https://mitra.stanford.edu/kundaje/oak/projects/neuro-variants/variant_position/credible/roussos_2024/variant_figures/roussos_2024.childhood.Astrocyte/rs60265316_count_position.png",4,220,900)</f>
        <v/>
      </c>
      <c r="T275">
        <f>IMAGE("https://mitra.stanford.edu/kundaje/oak/projects/neuro-variants/variant_position/credible/roussos_2024/variant_figures/roussos_2024.childhood.Astrocyte/rs60265316_profile_position.png",4,220,900)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0.08650249259999999</v>
      </c>
      <c r="G276" t="n">
        <v>0.097810322949983</v>
      </c>
      <c r="H276" t="n">
        <v>0.0195729912031848</v>
      </c>
      <c r="I276" t="n">
        <v>0.1464009039156576</v>
      </c>
      <c r="J276" t="n">
        <v>0.0199545083312342</v>
      </c>
      <c r="K276" t="n">
        <v>0.5895078522054964</v>
      </c>
      <c r="L276" t="b">
        <v>0</v>
      </c>
      <c r="M276" t="b">
        <v>0</v>
      </c>
      <c r="N276" t="inlineStr">
        <is>
          <t>alt</t>
        </is>
      </c>
      <c r="O276" t="n">
        <v>95</v>
      </c>
      <c r="P276" t="n">
        <v>0.03015</v>
      </c>
      <c r="Q276" t="n">
        <v>65</v>
      </c>
      <c r="R276" t="n">
        <v>0.1539</v>
      </c>
      <c r="S276">
        <f>IMAGE("https://mitra.stanford.edu/kundaje/oak/projects/neuro-variants/variant_position/credible/roussos_2024/variant_figures/roussos_2024.childhood.Astrocyte/rs1322775_count_position.png",4,220,900)</f>
        <v/>
      </c>
      <c r="T276">
        <f>IMAGE("https://mitra.stanford.edu/kundaje/oak/projects/neuro-variants/variant_position/credible/roussos_2024/variant_figures/roussos_2024.childhood.Astrocyte/rs1322775_profile_position.png",4,220,900)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0.01554420202</v>
      </c>
      <c r="G277" t="n">
        <v>0.6157444969259434</v>
      </c>
      <c r="H277" t="n">
        <v>0.0244221003070225</v>
      </c>
      <c r="I277" t="n">
        <v>0.0639952371329388</v>
      </c>
      <c r="J277" t="n">
        <v>0.0145794692129788</v>
      </c>
      <c r="K277" t="n">
        <v>0.6432437224349769</v>
      </c>
      <c r="L277" t="b">
        <v>0</v>
      </c>
      <c r="M277" t="b">
        <v>0</v>
      </c>
      <c r="N277" t="inlineStr">
        <is>
          <t>alt</t>
        </is>
      </c>
      <c r="O277" t="n">
        <v>20</v>
      </c>
      <c r="P277" t="n">
        <v>0.0003757</v>
      </c>
      <c r="Q277" t="n">
        <v>-100</v>
      </c>
      <c r="R277" t="n">
        <v>0.07480000000000001</v>
      </c>
      <c r="S277">
        <f>IMAGE("https://mitra.stanford.edu/kundaje/oak/projects/neuro-variants/variant_position/credible/roussos_2024/variant_figures/roussos_2024.childhood.Astrocyte/rs7349095_count_position.png",4,220,900)</f>
        <v/>
      </c>
      <c r="T277">
        <f>IMAGE("https://mitra.stanford.edu/kundaje/oak/projects/neuro-variants/variant_position/credible/roussos_2024/variant_figures/roussos_2024.childhood.Astrocyte/rs7349095_profile_position.png",4,220,900)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0.0058398664</v>
      </c>
      <c r="G278" t="n">
        <v>0.6919681054403174</v>
      </c>
      <c r="H278" t="n">
        <v>0.0342364817214376</v>
      </c>
      <c r="I278" t="n">
        <v>0.0181517198575014</v>
      </c>
      <c r="J278" t="n">
        <v>0.014982482654393</v>
      </c>
      <c r="K278" t="n">
        <v>0.6338341710821208</v>
      </c>
      <c r="L278" t="b">
        <v>1</v>
      </c>
      <c r="M278" t="b">
        <v>0</v>
      </c>
      <c r="N278" t="inlineStr">
        <is>
          <t>alt</t>
        </is>
      </c>
      <c r="O278" t="n">
        <v>-25</v>
      </c>
      <c r="P278" t="n">
        <v>0.0004272</v>
      </c>
      <c r="Q278" t="n">
        <v>-25</v>
      </c>
      <c r="R278" t="n">
        <v>0.0525</v>
      </c>
      <c r="S278">
        <f>IMAGE("https://mitra.stanford.edu/kundaje/oak/projects/neuro-variants/variant_position/credible/roussos_2024/variant_figures/roussos_2024.childhood.Astrocyte/rs1322779_count_position.png",4,220,900)</f>
        <v/>
      </c>
      <c r="T278">
        <f>IMAGE("https://mitra.stanford.edu/kundaje/oak/projects/neuro-variants/variant_position/credible/roussos_2024/variant_figures/roussos_2024.childhood.Astrocyte/rs1322779_profile_position.png",4,220,900)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0.0115213715199999</v>
      </c>
      <c r="G279" t="n">
        <v>0.6837129084268825</v>
      </c>
      <c r="H279" t="n">
        <v>0.0164912696251747</v>
      </c>
      <c r="I279" t="n">
        <v>0.2317412913180248</v>
      </c>
      <c r="J279" t="n">
        <v>0.0271484509170845</v>
      </c>
      <c r="K279" t="n">
        <v>0.5449721637417796</v>
      </c>
      <c r="L279" t="b">
        <v>0</v>
      </c>
      <c r="M279" t="b">
        <v>0</v>
      </c>
      <c r="N279" t="inlineStr">
        <is>
          <t>alt</t>
        </is>
      </c>
      <c r="O279" t="n">
        <v>-90</v>
      </c>
      <c r="P279" t="n">
        <v>0.007168</v>
      </c>
      <c r="Q279" t="n">
        <v>60</v>
      </c>
      <c r="R279" t="n">
        <v>0.05554</v>
      </c>
      <c r="S279">
        <f>IMAGE("https://mitra.stanford.edu/kundaje/oak/projects/neuro-variants/variant_position/credible/roussos_2024/variant_figures/roussos_2024.childhood.Astrocyte/rs9425434_count_position.png",4,220,900)</f>
        <v/>
      </c>
      <c r="T279">
        <f>IMAGE("https://mitra.stanford.edu/kundaje/oak/projects/neuro-variants/variant_position/credible/roussos_2024/variant_figures/roussos_2024.childhood.Astrocyte/rs9425434_profile_position.png",4,220,900)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-0.001122609852</v>
      </c>
      <c r="G280" t="n">
        <v>0.766585802863437</v>
      </c>
      <c r="H280" t="n">
        <v>0.0238544325996989</v>
      </c>
      <c r="I280" t="n">
        <v>0.0698959511945433</v>
      </c>
      <c r="J280" t="n">
        <v>0.1236854357964476</v>
      </c>
      <c r="K280" t="n">
        <v>0.2838985958722917</v>
      </c>
      <c r="L280" t="b">
        <v>0</v>
      </c>
      <c r="M280" t="b">
        <v>0</v>
      </c>
      <c r="N280" t="inlineStr">
        <is>
          <t>ref</t>
        </is>
      </c>
      <c r="O280" t="n">
        <v>95</v>
      </c>
      <c r="P280" t="n">
        <v>0.002068</v>
      </c>
      <c r="Q280" t="n">
        <v>100</v>
      </c>
      <c r="R280" t="n">
        <v>0.2405</v>
      </c>
      <c r="S280">
        <f>IMAGE("https://mitra.stanford.edu/kundaje/oak/projects/neuro-variants/variant_position/credible/roussos_2024/variant_figures/roussos_2024.childhood.Astrocyte/rs73039035_count_position.png",4,220,900)</f>
        <v/>
      </c>
      <c r="T280">
        <f>IMAGE("https://mitra.stanford.edu/kundaje/oak/projects/neuro-variants/variant_position/credible/roussos_2024/variant_figures/roussos_2024.childhood.Astrocyte/rs73039035_profile_position.png",4,220,900)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0.02095319624</v>
      </c>
      <c r="G281" t="n">
        <v>0.3272412122003988</v>
      </c>
      <c r="H281" t="n">
        <v>0.0240019516911312</v>
      </c>
      <c r="I281" t="n">
        <v>0.0681349661304599</v>
      </c>
      <c r="J281" t="n">
        <v>0.0490042972834756</v>
      </c>
      <c r="K281" t="n">
        <v>0.4657463580111405</v>
      </c>
      <c r="L281" t="b">
        <v>0</v>
      </c>
      <c r="M281" t="b">
        <v>0</v>
      </c>
      <c r="N281" t="inlineStr">
        <is>
          <t>alt</t>
        </is>
      </c>
      <c r="O281" t="n">
        <v>20</v>
      </c>
      <c r="P281" t="n">
        <v>0.006622</v>
      </c>
      <c r="Q281" t="n">
        <v>5</v>
      </c>
      <c r="R281" t="n">
        <v>0.02075</v>
      </c>
      <c r="S281">
        <f>IMAGE("https://mitra.stanford.edu/kundaje/oak/projects/neuro-variants/variant_position/credible/roussos_2024/variant_figures/roussos_2024.childhood.Astrocyte/rs941989_count_position.png",4,220,900)</f>
        <v/>
      </c>
      <c r="T281">
        <f>IMAGE("https://mitra.stanford.edu/kundaje/oak/projects/neuro-variants/variant_position/credible/roussos_2024/variant_figures/roussos_2024.childhood.Astrocyte/rs941989_profile_position.png",4,220,900)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-0.0800572928</v>
      </c>
      <c r="G282" t="n">
        <v>0.1096811287928341</v>
      </c>
      <c r="H282" t="n">
        <v>0.014099350263886</v>
      </c>
      <c r="I282" t="n">
        <v>0.3482840176344843</v>
      </c>
      <c r="J282" t="n">
        <v>0.1180035568989336</v>
      </c>
      <c r="K282" t="n">
        <v>0.3175619294334553</v>
      </c>
      <c r="L282" t="b">
        <v>0</v>
      </c>
      <c r="M282" t="b">
        <v>0</v>
      </c>
      <c r="N282" t="inlineStr">
        <is>
          <t>ref</t>
        </is>
      </c>
      <c r="O282" t="n">
        <v>-95</v>
      </c>
      <c r="P282" t="n">
        <v>0.00495</v>
      </c>
      <c r="Q282" t="n">
        <v>-50</v>
      </c>
      <c r="R282" t="n">
        <v>0.0503</v>
      </c>
      <c r="S282">
        <f>IMAGE("https://mitra.stanford.edu/kundaje/oak/projects/neuro-variants/variant_position/credible/roussos_2024/variant_figures/roussos_2024.childhood.Astrocyte/rs2227593_count_position.png",4,220,900)</f>
        <v/>
      </c>
      <c r="T282">
        <f>IMAGE("https://mitra.stanford.edu/kundaje/oak/projects/neuro-variants/variant_position/credible/roussos_2024/variant_figures/roussos_2024.childhood.Astrocyte/rs2227593_profile_position.png",4,220,900)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0.0009811712719998999</v>
      </c>
      <c r="G283" t="n">
        <v>0.9377459066923622</v>
      </c>
      <c r="H283" t="n">
        <v>0.0252648225152537</v>
      </c>
      <c r="I283" t="n">
        <v>0.0563114230467278</v>
      </c>
      <c r="J283" t="n">
        <v>0.001477715951852</v>
      </c>
      <c r="K283" t="n">
        <v>0.8908131938581616</v>
      </c>
      <c r="L283" t="b">
        <v>0</v>
      </c>
      <c r="M283" t="b">
        <v>0</v>
      </c>
      <c r="N283" t="inlineStr">
        <is>
          <t>alt</t>
        </is>
      </c>
      <c r="O283" t="n">
        <v>45</v>
      </c>
      <c r="P283" t="n">
        <v>0.006134</v>
      </c>
      <c r="Q283" t="n">
        <v>35</v>
      </c>
      <c r="R283" t="n">
        <v>0.03476</v>
      </c>
      <c r="S283">
        <f>IMAGE("https://mitra.stanford.edu/kundaje/oak/projects/neuro-variants/variant_position/credible/roussos_2024/variant_figures/roussos_2024.childhood.Astrocyte/rs1884994_count_position.png",4,220,900)</f>
        <v/>
      </c>
      <c r="T283">
        <f>IMAGE("https://mitra.stanford.edu/kundaje/oak/projects/neuro-variants/variant_position/credible/roussos_2024/variant_figures/roussos_2024.childhood.Astrocyte/rs1884994_profile_position.png",4,220,900)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0.0161544808</v>
      </c>
      <c r="G284" t="n">
        <v>0.4577533128819596</v>
      </c>
      <c r="H284" t="n">
        <v>0.0087901405147596</v>
      </c>
      <c r="I284" t="n">
        <v>0.8351932368668076</v>
      </c>
      <c r="J284" t="n">
        <v>0.0023104577408348</v>
      </c>
      <c r="K284" t="n">
        <v>0.8503146423331659</v>
      </c>
      <c r="L284" t="b">
        <v>0</v>
      </c>
      <c r="M284" t="b">
        <v>0</v>
      </c>
      <c r="N284" t="inlineStr">
        <is>
          <t>alt</t>
        </is>
      </c>
      <c r="O284" t="n">
        <v>-25</v>
      </c>
      <c r="P284" t="n">
        <v>0.001628</v>
      </c>
      <c r="Q284" t="n">
        <v>25</v>
      </c>
      <c r="R284" t="n">
        <v>0.02124</v>
      </c>
      <c r="S284">
        <f>IMAGE("https://mitra.stanford.edu/kundaje/oak/projects/neuro-variants/variant_position/credible/roussos_2024/variant_figures/roussos_2024.childhood.Astrocyte/rs6696163_count_position.png",4,220,900)</f>
        <v/>
      </c>
      <c r="T284">
        <f>IMAGE("https://mitra.stanford.edu/kundaje/oak/projects/neuro-variants/variant_position/credible/roussos_2024/variant_figures/roussos_2024.childhood.Astrocyte/rs6696163_profile_position.png",4,220,900)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-0.0164995006</v>
      </c>
      <c r="G285" t="n">
        <v>0.1922276392764626</v>
      </c>
      <c r="H285" t="n">
        <v>0.0117412354951137</v>
      </c>
      <c r="I285" t="n">
        <v>0.5451634414754429</v>
      </c>
      <c r="J285" t="n">
        <v>0.5509476158854466</v>
      </c>
      <c r="K285" t="n">
        <v>0.0436956350309631</v>
      </c>
      <c r="L285" t="b">
        <v>0</v>
      </c>
      <c r="M285" t="b">
        <v>0</v>
      </c>
      <c r="N285" t="inlineStr">
        <is>
          <t>ref</t>
        </is>
      </c>
      <c r="O285" t="n">
        <v>-55</v>
      </c>
      <c r="P285" t="n">
        <v>0.01163</v>
      </c>
      <c r="Q285" t="n">
        <v>-55</v>
      </c>
      <c r="R285" t="n">
        <v>0.08154</v>
      </c>
      <c r="S285">
        <f>IMAGE("https://mitra.stanford.edu/kundaje/oak/projects/neuro-variants/variant_position/credible/roussos_2024/variant_figures/roussos_2024.childhood.Astrocyte/rs12092774_count_position.png",4,220,900)</f>
        <v/>
      </c>
      <c r="T285">
        <f>IMAGE("https://mitra.stanford.edu/kundaje/oak/projects/neuro-variants/variant_position/credible/roussos_2024/variant_figures/roussos_2024.childhood.Astrocyte/rs12092774_profile_position.png",4,220,900)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0.0727606403999999</v>
      </c>
      <c r="G286" t="n">
        <v>0.1306815026573446</v>
      </c>
      <c r="H286" t="n">
        <v>0.0133847001619416</v>
      </c>
      <c r="I286" t="n">
        <v>0.408029265335244</v>
      </c>
      <c r="J286" t="n">
        <v>0.0328875760420721</v>
      </c>
      <c r="K286" t="n">
        <v>0.5438873116489173</v>
      </c>
      <c r="L286" t="b">
        <v>0</v>
      </c>
      <c r="M286" t="b">
        <v>0</v>
      </c>
      <c r="N286" t="inlineStr">
        <is>
          <t>alt</t>
        </is>
      </c>
      <c r="O286" t="n">
        <v>15</v>
      </c>
      <c r="P286" t="n">
        <v>0.001614</v>
      </c>
      <c r="Q286" t="n">
        <v>-65</v>
      </c>
      <c r="R286" t="n">
        <v>0.2656</v>
      </c>
      <c r="S286">
        <f>IMAGE("https://mitra.stanford.edu/kundaje/oak/projects/neuro-variants/variant_position/credible/roussos_2024/variant_figures/roussos_2024.childhood.Astrocyte/rs77574979_count_position.png",4,220,900)</f>
        <v/>
      </c>
      <c r="T286">
        <f>IMAGE("https://mitra.stanford.edu/kundaje/oak/projects/neuro-variants/variant_position/credible/roussos_2024/variant_figures/roussos_2024.childhood.Astrocyte/rs77574979_profile_position.png",4,220,900)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0.0010848562</v>
      </c>
      <c r="G287" t="n">
        <v>0.1459108622495602</v>
      </c>
      <c r="H287" t="n">
        <v>0.0237624978810849</v>
      </c>
      <c r="I287" t="n">
        <v>0.070847465838224</v>
      </c>
      <c r="J287" t="n">
        <v>0.0015105371222702</v>
      </c>
      <c r="K287" t="n">
        <v>0.8936431757817748</v>
      </c>
      <c r="L287" t="b">
        <v>0</v>
      </c>
      <c r="M287" t="b">
        <v>0</v>
      </c>
      <c r="N287" t="inlineStr">
        <is>
          <t>alt</t>
        </is>
      </c>
      <c r="O287" t="n">
        <v>-20</v>
      </c>
      <c r="P287" t="n">
        <v>0.002361</v>
      </c>
      <c r="Q287" t="n">
        <v>-85</v>
      </c>
      <c r="R287" t="n">
        <v>0.06934</v>
      </c>
      <c r="S287">
        <f>IMAGE("https://mitra.stanford.edu/kundaje/oak/projects/neuro-variants/variant_position/credible/roussos_2024/variant_figures/roussos_2024.childhood.Astrocyte/rs61228022_count_position.png",4,220,900)</f>
        <v/>
      </c>
      <c r="T287">
        <f>IMAGE("https://mitra.stanford.edu/kundaje/oak/projects/neuro-variants/variant_position/credible/roussos_2024/variant_figures/roussos_2024.childhood.Astrocyte/rs61228022_profile_position.png",4,220,900)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-0.1843106139999999</v>
      </c>
      <c r="G288" t="n">
        <v>0.0209170412378366</v>
      </c>
      <c r="H288" t="n">
        <v>0.0214623856532352</v>
      </c>
      <c r="I288" t="n">
        <v>0.1001154405224361</v>
      </c>
      <c r="J288" t="n">
        <v>0.0168303908772411</v>
      </c>
      <c r="K288" t="n">
        <v>0.6237853262911521</v>
      </c>
      <c r="L288" t="b">
        <v>0</v>
      </c>
      <c r="M288" t="b">
        <v>0</v>
      </c>
      <c r="N288" t="inlineStr">
        <is>
          <t>ref</t>
        </is>
      </c>
      <c r="O288" t="n">
        <v>-50</v>
      </c>
      <c r="P288" t="n">
        <v>0.02625</v>
      </c>
      <c r="Q288" t="n">
        <v>-65</v>
      </c>
      <c r="R288" t="n">
        <v>0.155</v>
      </c>
      <c r="S288">
        <f>IMAGE("https://mitra.stanford.edu/kundaje/oak/projects/neuro-variants/variant_position/credible/roussos_2024/variant_figures/roussos_2024.childhood.Astrocyte/rs55988379_count_position.png",4,220,900)</f>
        <v/>
      </c>
      <c r="T288">
        <f>IMAGE("https://mitra.stanford.edu/kundaje/oak/projects/neuro-variants/variant_position/credible/roussos_2024/variant_figures/roussos_2024.childhood.Astrocyte/rs55988379_profile_position.png",4,220,900)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-0.0570544341999999</v>
      </c>
      <c r="G289" t="n">
        <v>0.1883903230336166</v>
      </c>
      <c r="H289" t="n">
        <v>0.0281230095739083</v>
      </c>
      <c r="I289" t="n">
        <v>0.0377660627958424</v>
      </c>
      <c r="J289" t="n">
        <v>0.0266614763420423</v>
      </c>
      <c r="K289" t="n">
        <v>0.5562267281452103</v>
      </c>
      <c r="L289" t="b">
        <v>0</v>
      </c>
      <c r="M289" t="b">
        <v>0</v>
      </c>
      <c r="N289" t="inlineStr">
        <is>
          <t>ref</t>
        </is>
      </c>
      <c r="O289" t="n">
        <v>-35</v>
      </c>
      <c r="P289" t="n">
        <v>0.01018</v>
      </c>
      <c r="Q289" t="n">
        <v>100</v>
      </c>
      <c r="R289" t="n">
        <v>0.0569</v>
      </c>
      <c r="S289">
        <f>IMAGE("https://mitra.stanford.edu/kundaje/oak/projects/neuro-variants/variant_position/credible/roussos_2024/variant_figures/roussos_2024.childhood.Astrocyte/rs61826842_count_position.png",4,220,900)</f>
        <v/>
      </c>
      <c r="T289">
        <f>IMAGE("https://mitra.stanford.edu/kundaje/oak/projects/neuro-variants/variant_position/credible/roussos_2024/variant_figures/roussos_2024.childhood.Astrocyte/rs61826842_profile_position.png",4,220,900)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0.0245185562</v>
      </c>
      <c r="G290" t="n">
        <v>0.4573075779499386</v>
      </c>
      <c r="H290" t="n">
        <v>0.0521738130319994</v>
      </c>
      <c r="I290" t="n">
        <v>0.0033992990676275</v>
      </c>
      <c r="J290" t="n">
        <v>0.0059597139215191</v>
      </c>
      <c r="K290" t="n">
        <v>0.7524440629639237</v>
      </c>
      <c r="L290" t="b">
        <v>0</v>
      </c>
      <c r="M290" t="b">
        <v>0</v>
      </c>
      <c r="N290" t="inlineStr">
        <is>
          <t>alt</t>
        </is>
      </c>
      <c r="O290" t="n">
        <v>-60</v>
      </c>
      <c r="P290" t="n">
        <v>0.00351</v>
      </c>
      <c r="Q290" t="n">
        <v>-100</v>
      </c>
      <c r="R290" t="n">
        <v>0.08459999999999999</v>
      </c>
      <c r="S290">
        <f>IMAGE("https://mitra.stanford.edu/kundaje/oak/projects/neuro-variants/variant_position/credible/roussos_2024/variant_figures/roussos_2024.childhood.Astrocyte/rs13376011_count_position.png",4,220,900)</f>
        <v/>
      </c>
      <c r="T290">
        <f>IMAGE("https://mitra.stanford.edu/kundaje/oak/projects/neuro-variants/variant_position/credible/roussos_2024/variant_figures/roussos_2024.childhood.Astrocyte/rs13376011_profile_position.png",4,220,900)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-0.216398186</v>
      </c>
      <c r="G291" t="n">
        <v>0.0142762015645819</v>
      </c>
      <c r="H291" t="n">
        <v>0.0186645003318359</v>
      </c>
      <c r="I291" t="n">
        <v>0.164136985276195</v>
      </c>
      <c r="J291" t="n">
        <v>0.0326120308671658</v>
      </c>
      <c r="K291" t="n">
        <v>0.5179245630638987</v>
      </c>
      <c r="L291" t="b">
        <v>1</v>
      </c>
      <c r="M291" t="b">
        <v>0</v>
      </c>
      <c r="N291" t="inlineStr">
        <is>
          <t>ref</t>
        </is>
      </c>
      <c r="O291" t="n">
        <v>60</v>
      </c>
      <c r="P291" t="n">
        <v>0.006577</v>
      </c>
      <c r="Q291" t="n">
        <v>-80</v>
      </c>
      <c r="R291" t="n">
        <v>0.0935</v>
      </c>
      <c r="S291">
        <f>IMAGE("https://mitra.stanford.edu/kundaje/oak/projects/neuro-variants/variant_position/credible/roussos_2024/variant_figures/roussos_2024.childhood.Astrocyte/rs6425273_count_position.png",4,220,900)</f>
        <v/>
      </c>
      <c r="T291">
        <f>IMAGE("https://mitra.stanford.edu/kundaje/oak/projects/neuro-variants/variant_position/credible/roussos_2024/variant_figures/roussos_2024.childhood.Astrocyte/rs6425273_profile_position.png",4,220,900)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-0.0301981274</v>
      </c>
      <c r="G292" t="n">
        <v>0.3902575573456958</v>
      </c>
      <c r="H292" t="n">
        <v>0.0149401409395582</v>
      </c>
      <c r="I292" t="n">
        <v>0.3044200114165214</v>
      </c>
      <c r="J292" t="n">
        <v>0.009782998633723301</v>
      </c>
      <c r="K292" t="n">
        <v>0.694944280533412</v>
      </c>
      <c r="L292" t="b">
        <v>0</v>
      </c>
      <c r="M292" t="b">
        <v>0</v>
      </c>
      <c r="N292" t="inlineStr">
        <is>
          <t>ref</t>
        </is>
      </c>
      <c r="O292" t="n">
        <v>100</v>
      </c>
      <c r="P292" t="n">
        <v>0.013824</v>
      </c>
      <c r="Q292" t="n">
        <v>90</v>
      </c>
      <c r="R292" t="n">
        <v>0.1484</v>
      </c>
      <c r="S292">
        <f>IMAGE("https://mitra.stanford.edu/kundaje/oak/projects/neuro-variants/variant_position/credible/roussos_2024/variant_figures/roussos_2024.childhood.Astrocyte/rs11587684_count_position.png",4,220,900)</f>
        <v/>
      </c>
      <c r="T292">
        <f>IMAGE("https://mitra.stanford.edu/kundaje/oak/projects/neuro-variants/variant_position/credible/roussos_2024/variant_figures/roussos_2024.childhood.Astrocyte/rs11587684_profile_position.png",4,220,900)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0.0148447434399999</v>
      </c>
      <c r="G293" t="n">
        <v>0.6116565943125525</v>
      </c>
      <c r="H293" t="n">
        <v>0.0124569730037334</v>
      </c>
      <c r="I293" t="n">
        <v>0.4811904521088525</v>
      </c>
      <c r="J293" t="n">
        <v>0.0018288261470235</v>
      </c>
      <c r="K293" t="n">
        <v>0.8769145136513768</v>
      </c>
      <c r="L293" t="b">
        <v>0</v>
      </c>
      <c r="M293" t="b">
        <v>0</v>
      </c>
      <c r="N293" t="inlineStr">
        <is>
          <t>alt</t>
        </is>
      </c>
      <c r="O293" t="n">
        <v>-70</v>
      </c>
      <c r="P293" t="n">
        <v>0.004562</v>
      </c>
      <c r="Q293" t="n">
        <v>85</v>
      </c>
      <c r="R293" t="n">
        <v>0.1477</v>
      </c>
      <c r="S293">
        <f>IMAGE("https://mitra.stanford.edu/kundaje/oak/projects/neuro-variants/variant_position/credible/roussos_2024/variant_figures/roussos_2024.childhood.Astrocyte/rs72720790_count_position.png",4,220,900)</f>
        <v/>
      </c>
      <c r="T293">
        <f>IMAGE("https://mitra.stanford.edu/kundaje/oak/projects/neuro-variants/variant_position/credible/roussos_2024/variant_figures/roussos_2024.childhood.Astrocyte/rs72720790_profile_position.png",4,220,900)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0.0320511479999999</v>
      </c>
      <c r="G294" t="n">
        <v>0.3874552777151037</v>
      </c>
      <c r="H294" t="n">
        <v>0.009875688668164</v>
      </c>
      <c r="I294" t="n">
        <v>0.7267068680679299</v>
      </c>
      <c r="J294" t="n">
        <v>0.0001717386824207</v>
      </c>
      <c r="K294" t="n">
        <v>0.9757768860144774</v>
      </c>
      <c r="L294" t="b">
        <v>0</v>
      </c>
      <c r="M294" t="b">
        <v>0</v>
      </c>
      <c r="N294" t="inlineStr">
        <is>
          <t>alt</t>
        </is>
      </c>
      <c r="O294" t="n">
        <v>-100</v>
      </c>
      <c r="P294" t="n">
        <v>0.004333</v>
      </c>
      <c r="Q294" t="n">
        <v>75</v>
      </c>
      <c r="R294" t="n">
        <v>0.00621</v>
      </c>
      <c r="S294">
        <f>IMAGE("https://mitra.stanford.edu/kundaje/oak/projects/neuro-variants/variant_position/credible/roussos_2024/variant_figures/roussos_2024.childhood.Astrocyte/rs11587000_count_position.png",4,220,900)</f>
        <v/>
      </c>
      <c r="T294">
        <f>IMAGE("https://mitra.stanford.edu/kundaje/oak/projects/neuro-variants/variant_position/credible/roussos_2024/variant_figures/roussos_2024.childhood.Astrocyte/rs11587000_profile_position.png",4,220,900)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-0.131901638</v>
      </c>
      <c r="G295" t="n">
        <v>0.0458758278583832</v>
      </c>
      <c r="H295" t="n">
        <v>0.0153900064492748</v>
      </c>
      <c r="I295" t="n">
        <v>0.2799242815082628</v>
      </c>
      <c r="J295" t="n">
        <v>0.2458885759428453</v>
      </c>
      <c r="K295" t="n">
        <v>0.1659237783080625</v>
      </c>
      <c r="L295" t="b">
        <v>0</v>
      </c>
      <c r="M295" t="b">
        <v>0</v>
      </c>
      <c r="N295" t="inlineStr">
        <is>
          <t>ref</t>
        </is>
      </c>
      <c r="O295" t="n">
        <v>-5</v>
      </c>
      <c r="P295" t="n">
        <v>0.0005074</v>
      </c>
      <c r="Q295" t="n">
        <v>-80</v>
      </c>
      <c r="R295" t="n">
        <v>0.08887</v>
      </c>
      <c r="S295">
        <f>IMAGE("https://mitra.stanford.edu/kundaje/oak/projects/neuro-variants/variant_position/credible/roussos_2024/variant_figures/roussos_2024.childhood.Astrocyte/rs1415339_count_position.png",4,220,900)</f>
        <v/>
      </c>
      <c r="T295">
        <f>IMAGE("https://mitra.stanford.edu/kundaje/oak/projects/neuro-variants/variant_position/credible/roussos_2024/variant_figures/roussos_2024.childhood.Astrocyte/rs1415339_profile_position.png",4,220,900)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-0.0111306699</v>
      </c>
      <c r="G296" t="n">
        <v>0.716942406498294</v>
      </c>
      <c r="H296" t="n">
        <v>0.0379355503652638</v>
      </c>
      <c r="I296" t="n">
        <v>0.0121401968508628</v>
      </c>
      <c r="J296" t="n">
        <v>0.0115553418363062</v>
      </c>
      <c r="K296" t="n">
        <v>0.6746493498584919</v>
      </c>
      <c r="L296" t="b">
        <v>1</v>
      </c>
      <c r="M296" t="b">
        <v>0</v>
      </c>
      <c r="N296" t="inlineStr">
        <is>
          <t>ref</t>
        </is>
      </c>
      <c r="O296" t="n">
        <v>100</v>
      </c>
      <c r="P296" t="n">
        <v>0.006805</v>
      </c>
      <c r="Q296" t="n">
        <v>-35</v>
      </c>
      <c r="R296" t="n">
        <v>0.0699</v>
      </c>
      <c r="S296">
        <f>IMAGE("https://mitra.stanford.edu/kundaje/oak/projects/neuro-variants/variant_position/credible/roussos_2024/variant_figures/roussos_2024.childhood.Astrocyte/rs34929437_count_position.png",4,220,900)</f>
        <v/>
      </c>
      <c r="T296">
        <f>IMAGE("https://mitra.stanford.edu/kundaje/oak/projects/neuro-variants/variant_position/credible/roussos_2024/variant_figures/roussos_2024.childhood.Astrocyte/rs34929437_profile_position.png",4,220,900)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0.018607161092</v>
      </c>
      <c r="G297" t="n">
        <v>0.5543774888145079</v>
      </c>
      <c r="H297" t="n">
        <v>0.0098541621627584</v>
      </c>
      <c r="I297" t="n">
        <v>0.7160386357787868</v>
      </c>
      <c r="J297" t="n">
        <v>0.0981818598154381</v>
      </c>
      <c r="K297" t="n">
        <v>0.3316297813785032</v>
      </c>
      <c r="L297" t="b">
        <v>0</v>
      </c>
      <c r="M297" t="b">
        <v>0</v>
      </c>
      <c r="N297" t="inlineStr">
        <is>
          <t>alt</t>
        </is>
      </c>
      <c r="O297" t="n">
        <v>65</v>
      </c>
      <c r="P297" t="n">
        <v>0.010994</v>
      </c>
      <c r="Q297" t="n">
        <v>5</v>
      </c>
      <c r="R297" t="n">
        <v>0.00708</v>
      </c>
      <c r="S297">
        <f>IMAGE("https://mitra.stanford.edu/kundaje/oak/projects/neuro-variants/variant_position/credible/roussos_2024/variant_figures/roussos_2024.childhood.Astrocyte/rs12143554_count_position.png",4,220,900)</f>
        <v/>
      </c>
      <c r="T297">
        <f>IMAGE("https://mitra.stanford.edu/kundaje/oak/projects/neuro-variants/variant_position/credible/roussos_2024/variant_figures/roussos_2024.childhood.Astrocyte/rs12143554_profile_position.png",4,220,900)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-0.0479780661999999</v>
      </c>
      <c r="G298" t="n">
        <v>0.2367673040198825</v>
      </c>
      <c r="H298" t="n">
        <v>0.0157042410617293</v>
      </c>
      <c r="I298" t="n">
        <v>0.2764988379568784</v>
      </c>
      <c r="J298" t="n">
        <v>0.1191377954859441</v>
      </c>
      <c r="K298" t="n">
        <v>0.3065107095674731</v>
      </c>
      <c r="L298" t="b">
        <v>0</v>
      </c>
      <c r="M298" t="b">
        <v>0</v>
      </c>
      <c r="N298" t="inlineStr">
        <is>
          <t>ref</t>
        </is>
      </c>
      <c r="O298" t="n">
        <v>-80</v>
      </c>
      <c r="P298" t="n">
        <v>0.0349</v>
      </c>
      <c r="Q298" t="n">
        <v>85</v>
      </c>
      <c r="R298" t="n">
        <v>0.03247</v>
      </c>
      <c r="S298">
        <f>IMAGE("https://mitra.stanford.edu/kundaje/oak/projects/neuro-variants/variant_position/credible/roussos_2024/variant_figures/roussos_2024.childhood.Astrocyte/rs12138989_count_position.png",4,220,900)</f>
        <v/>
      </c>
      <c r="T298">
        <f>IMAGE("https://mitra.stanford.edu/kundaje/oak/projects/neuro-variants/variant_position/credible/roussos_2024/variant_figures/roussos_2024.childhood.Astrocyte/rs12138989_profile_position.png",4,220,900)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-0.0394598635999999</v>
      </c>
      <c r="G299" t="n">
        <v>0.3069911578624359</v>
      </c>
      <c r="H299" t="n">
        <v>0.0118923234716641</v>
      </c>
      <c r="I299" t="n">
        <v>0.5256891332723364</v>
      </c>
      <c r="J299" t="n">
        <v>0.08192164136383399</v>
      </c>
      <c r="K299" t="n">
        <v>0.3746287248819684</v>
      </c>
      <c r="L299" t="b">
        <v>0</v>
      </c>
      <c r="M299" t="b">
        <v>0</v>
      </c>
      <c r="N299" t="inlineStr">
        <is>
          <t>ref</t>
        </is>
      </c>
      <c r="O299" t="n">
        <v>90</v>
      </c>
      <c r="P299" t="n">
        <v>0.001316</v>
      </c>
      <c r="Q299" t="n">
        <v>-45</v>
      </c>
      <c r="R299" t="n">
        <v>0.03333</v>
      </c>
      <c r="S299">
        <f>IMAGE("https://mitra.stanford.edu/kundaje/oak/projects/neuro-variants/variant_position/credible/roussos_2024/variant_figures/roussos_2024.childhood.Astrocyte/rs55902020_count_position.png",4,220,900)</f>
        <v/>
      </c>
      <c r="T299">
        <f>IMAGE("https://mitra.stanford.edu/kundaje/oak/projects/neuro-variants/variant_position/credible/roussos_2024/variant_figures/roussos_2024.childhood.Astrocyte/rs55902020_profile_position.png",4,220,900)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0.0101197331</v>
      </c>
      <c r="G300" t="n">
        <v>0.2889092390305349</v>
      </c>
      <c r="H300" t="n">
        <v>0.0360689960248976</v>
      </c>
      <c r="I300" t="n">
        <v>0.0145184874299223</v>
      </c>
      <c r="J300" t="n">
        <v>0.08674482684924389</v>
      </c>
      <c r="K300" t="n">
        <v>0.3487485707576613</v>
      </c>
      <c r="L300" t="b">
        <v>1</v>
      </c>
      <c r="M300" t="b">
        <v>0</v>
      </c>
      <c r="N300" t="inlineStr">
        <is>
          <t>alt</t>
        </is>
      </c>
      <c r="O300" t="n">
        <v>15</v>
      </c>
      <c r="P300" t="n">
        <v>0.001734</v>
      </c>
      <c r="Q300" t="n">
        <v>-15</v>
      </c>
      <c r="R300" t="n">
        <v>0.1102</v>
      </c>
      <c r="S300">
        <f>IMAGE("https://mitra.stanford.edu/kundaje/oak/projects/neuro-variants/variant_position/credible/roussos_2024/variant_figures/roussos_2024.childhood.Astrocyte/rs10913422_count_position.png",4,220,900)</f>
        <v/>
      </c>
      <c r="T300">
        <f>IMAGE("https://mitra.stanford.edu/kundaje/oak/projects/neuro-variants/variant_position/credible/roussos_2024/variant_figures/roussos_2024.childhood.Astrocyte/rs10913422_profile_position.png",4,220,900)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0.01246957324</v>
      </c>
      <c r="G301" t="n">
        <v>0.6705929551351761</v>
      </c>
      <c r="H301" t="n">
        <v>0.0145875552059154</v>
      </c>
      <c r="I301" t="n">
        <v>0.3196298827711581</v>
      </c>
      <c r="J301" t="n">
        <v>0.1700098463511254</v>
      </c>
      <c r="K301" t="n">
        <v>0.2342882291003988</v>
      </c>
      <c r="L301" t="b">
        <v>0</v>
      </c>
      <c r="M301" t="b">
        <v>0</v>
      </c>
      <c r="N301" t="inlineStr">
        <is>
          <t>alt</t>
        </is>
      </c>
      <c r="O301" t="n">
        <v>-45</v>
      </c>
      <c r="P301" t="n">
        <v>0.003304</v>
      </c>
      <c r="Q301" t="n">
        <v>-100</v>
      </c>
      <c r="R301" t="n">
        <v>0.2947</v>
      </c>
      <c r="S301">
        <f>IMAGE("https://mitra.stanford.edu/kundaje/oak/projects/neuro-variants/variant_position/credible/roussos_2024/variant_figures/roussos_2024.childhood.Astrocyte/rs12065872_count_position.png",4,220,900)</f>
        <v/>
      </c>
      <c r="T301">
        <f>IMAGE("https://mitra.stanford.edu/kundaje/oak/projects/neuro-variants/variant_position/credible/roussos_2024/variant_figures/roussos_2024.childhood.Astrocyte/rs12065872_profile_position.png",4,220,900)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0.0736669388</v>
      </c>
      <c r="G302" t="n">
        <v>0.1183856075201713</v>
      </c>
      <c r="H302" t="n">
        <v>0.0119111526286493</v>
      </c>
      <c r="I302" t="n">
        <v>0.5254219222024016</v>
      </c>
      <c r="J302" t="n">
        <v>0.0195392823612923</v>
      </c>
      <c r="K302" t="n">
        <v>0.5975951302642634</v>
      </c>
      <c r="L302" t="b">
        <v>0</v>
      </c>
      <c r="M302" t="b">
        <v>0</v>
      </c>
      <c r="N302" t="inlineStr">
        <is>
          <t>alt</t>
        </is>
      </c>
      <c r="O302" t="n">
        <v>-100</v>
      </c>
      <c r="P302" t="n">
        <v>0.00537</v>
      </c>
      <c r="Q302" t="n">
        <v>70</v>
      </c>
      <c r="R302" t="n">
        <v>0.02998</v>
      </c>
      <c r="S302">
        <f>IMAGE("https://mitra.stanford.edu/kundaje/oak/projects/neuro-variants/variant_position/credible/roussos_2024/variant_figures/roussos_2024.childhood.Astrocyte/rs3818433_count_position.png",4,220,900)</f>
        <v/>
      </c>
      <c r="T302">
        <f>IMAGE("https://mitra.stanford.edu/kundaje/oak/projects/neuro-variants/variant_position/credible/roussos_2024/variant_figures/roussos_2024.childhood.Astrocyte/rs3818433_profile_position.png",4,220,900)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-0.0907127796</v>
      </c>
      <c r="G303" t="n">
        <v>0.09073435907026441</v>
      </c>
      <c r="H303" t="n">
        <v>0.0133253810001608</v>
      </c>
      <c r="I303" t="n">
        <v>0.4036197193403558</v>
      </c>
      <c r="J303" t="n">
        <v>0.0145344355140329</v>
      </c>
      <c r="K303" t="n">
        <v>0.6474299042054241</v>
      </c>
      <c r="L303" t="b">
        <v>0</v>
      </c>
      <c r="M303" t="b">
        <v>0</v>
      </c>
      <c r="N303" t="inlineStr">
        <is>
          <t>ref</t>
        </is>
      </c>
      <c r="O303" t="n">
        <v>-90</v>
      </c>
      <c r="P303" t="n">
        <v>0.05164</v>
      </c>
      <c r="Q303" t="n">
        <v>-25</v>
      </c>
      <c r="R303" t="n">
        <v>0.0998</v>
      </c>
      <c r="S303">
        <f>IMAGE("https://mitra.stanford.edu/kundaje/oak/projects/neuro-variants/variant_position/credible/roussos_2024/variant_figures/roussos_2024.childhood.Astrocyte/rs432798_count_position.png",4,220,900)</f>
        <v/>
      </c>
      <c r="T303">
        <f>IMAGE("https://mitra.stanford.edu/kundaje/oak/projects/neuro-variants/variant_position/credible/roussos_2024/variant_figures/roussos_2024.childhood.Astrocyte/rs432798_profile_position.png",4,220,900)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-0.03581438444</v>
      </c>
      <c r="G304" t="n">
        <v>0.3409804813178517</v>
      </c>
      <c r="H304" t="n">
        <v>0.024718404960731</v>
      </c>
      <c r="I304" t="n">
        <v>0.0615373897942169</v>
      </c>
      <c r="J304" t="n">
        <v>0.0861174081961331</v>
      </c>
      <c r="K304" t="n">
        <v>0.3746858127660236</v>
      </c>
      <c r="L304" t="b">
        <v>0</v>
      </c>
      <c r="M304" t="b">
        <v>0</v>
      </c>
      <c r="N304" t="inlineStr">
        <is>
          <t>ref</t>
        </is>
      </c>
      <c r="O304" t="n">
        <v>-100</v>
      </c>
      <c r="P304" t="n">
        <v>0.01088</v>
      </c>
      <c r="Q304" t="n">
        <v>-100</v>
      </c>
      <c r="R304" t="n">
        <v>0.178</v>
      </c>
      <c r="S304">
        <f>IMAGE("https://mitra.stanford.edu/kundaje/oak/projects/neuro-variants/variant_position/credible/roussos_2024/variant_figures/roussos_2024.childhood.Astrocyte/rs3122378_count_position.png",4,220,900)</f>
        <v/>
      </c>
      <c r="T304">
        <f>IMAGE("https://mitra.stanford.edu/kundaje/oak/projects/neuro-variants/variant_position/credible/roussos_2024/variant_figures/roussos_2024.childhood.Astrocyte/rs3122378_profile_position.png",4,220,900)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0.00470086408</v>
      </c>
      <c r="G305" t="n">
        <v>0.6120054239379845</v>
      </c>
      <c r="H305" t="n">
        <v>0.0189196667053706</v>
      </c>
      <c r="I305" t="n">
        <v>0.1496660120242803</v>
      </c>
      <c r="J305" t="n">
        <v>0.009339531191561</v>
      </c>
      <c r="K305" t="n">
        <v>0.6972450736797879</v>
      </c>
      <c r="L305" t="b">
        <v>0</v>
      </c>
      <c r="M305" t="b">
        <v>0</v>
      </c>
      <c r="N305" t="inlineStr">
        <is>
          <t>alt</t>
        </is>
      </c>
      <c r="O305" t="n">
        <v>-100</v>
      </c>
      <c r="P305" t="n">
        <v>0.0298</v>
      </c>
      <c r="Q305" t="n">
        <v>-100</v>
      </c>
      <c r="R305" t="n">
        <v>0.1383</v>
      </c>
      <c r="S305">
        <f>IMAGE("https://mitra.stanford.edu/kundaje/oak/projects/neuro-variants/variant_position/credible/roussos_2024/variant_figures/roussos_2024.childhood.Astrocyte/rs12049237_count_position.png",4,220,900)</f>
        <v/>
      </c>
      <c r="T305">
        <f>IMAGE("https://mitra.stanford.edu/kundaje/oak/projects/neuro-variants/variant_position/credible/roussos_2024/variant_figures/roussos_2024.childhood.Astrocyte/rs12049237_profile_position.png",4,220,900)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-0.0183740899199999</v>
      </c>
      <c r="G306" t="n">
        <v>0.5584178590600385</v>
      </c>
      <c r="H306" t="n">
        <v>0.0321094507818127</v>
      </c>
      <c r="I306" t="n">
        <v>0.0231452027473259</v>
      </c>
      <c r="J306" t="n">
        <v>0.0038706082602489</v>
      </c>
      <c r="K306" t="n">
        <v>0.7991401089961254</v>
      </c>
      <c r="L306" t="b">
        <v>0</v>
      </c>
      <c r="M306" t="b">
        <v>0</v>
      </c>
      <c r="N306" t="inlineStr">
        <is>
          <t>ref</t>
        </is>
      </c>
      <c r="O306" t="n">
        <v>100</v>
      </c>
      <c r="P306" t="n">
        <v>0.005714</v>
      </c>
      <c r="Q306" t="n">
        <v>-40</v>
      </c>
      <c r="R306" t="n">
        <v>0.08527</v>
      </c>
      <c r="S306">
        <f>IMAGE("https://mitra.stanford.edu/kundaje/oak/projects/neuro-variants/variant_position/credible/roussos_2024/variant_figures/roussos_2024.childhood.Astrocyte/rs78993991_count_position.png",4,220,900)</f>
        <v/>
      </c>
      <c r="T306">
        <f>IMAGE("https://mitra.stanford.edu/kundaje/oak/projects/neuro-variants/variant_position/credible/roussos_2024/variant_figures/roussos_2024.childhood.Astrocyte/rs78993991_profile_position.png",4,220,900)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0.0599097808</v>
      </c>
      <c r="G307" t="n">
        <v>0.1636412742386263</v>
      </c>
      <c r="H307" t="n">
        <v>0.0119762179703185</v>
      </c>
      <c r="I307" t="n">
        <v>0.5195801688646152</v>
      </c>
      <c r="J307" t="n">
        <v>0.0021104775861936</v>
      </c>
      <c r="K307" t="n">
        <v>0.8549640403822479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0.444</v>
      </c>
      <c r="Q307" t="n">
        <v>90</v>
      </c>
      <c r="R307" t="n">
        <v>0.1234</v>
      </c>
      <c r="S307">
        <f>IMAGE("https://mitra.stanford.edu/kundaje/oak/projects/neuro-variants/variant_position/credible/roussos_2024/variant_figures/roussos_2024.childhood.Astrocyte/rs13306728_count_position.png",4,220,900)</f>
        <v/>
      </c>
      <c r="T307">
        <f>IMAGE("https://mitra.stanford.edu/kundaje/oak/projects/neuro-variants/variant_position/credible/roussos_2024/variant_figures/roussos_2024.childhood.Astrocyte/rs13306728_profile_position.png",4,220,900)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-0.0276329186</v>
      </c>
      <c r="G308" t="n">
        <v>0.4189466825772884</v>
      </c>
      <c r="H308" t="n">
        <v>0.0297501642368311</v>
      </c>
      <c r="I308" t="n">
        <v>0.0305575164216598</v>
      </c>
      <c r="J308" t="n">
        <v>0.0322036744445207</v>
      </c>
      <c r="K308" t="n">
        <v>0.5161413399785962</v>
      </c>
      <c r="L308" t="b">
        <v>0</v>
      </c>
      <c r="M308" t="b">
        <v>0</v>
      </c>
      <c r="N308" t="inlineStr">
        <is>
          <t>ref</t>
        </is>
      </c>
      <c r="O308" t="n">
        <v>-5</v>
      </c>
      <c r="P308" t="n">
        <v>0.00537</v>
      </c>
      <c r="Q308" t="n">
        <v>65</v>
      </c>
      <c r="R308" t="n">
        <v>0.0357</v>
      </c>
      <c r="S308">
        <f>IMAGE("https://mitra.stanford.edu/kundaje/oak/projects/neuro-variants/variant_position/credible/roussos_2024/variant_figures/roussos_2024.childhood.Astrocyte/rs12141199_count_position.png",4,220,900)</f>
        <v/>
      </c>
      <c r="T308">
        <f>IMAGE("https://mitra.stanford.edu/kundaje/oak/projects/neuro-variants/variant_position/credible/roussos_2024/variant_figures/roussos_2024.childhood.Astrocyte/rs12141199_profile_position.png",4,220,900)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0.13922435</v>
      </c>
      <c r="G309" t="n">
        <v>0.0354589971636045</v>
      </c>
      <c r="H309" t="n">
        <v>0.0211398620404541</v>
      </c>
      <c r="I309" t="n">
        <v>0.1061460745535389</v>
      </c>
      <c r="J309" t="n">
        <v>0.0133513468129116</v>
      </c>
      <c r="K309" t="n">
        <v>0.6558696193540753</v>
      </c>
      <c r="L309" t="b">
        <v>0</v>
      </c>
      <c r="M309" t="b">
        <v>0</v>
      </c>
      <c r="N309" t="inlineStr">
        <is>
          <t>alt</t>
        </is>
      </c>
      <c r="O309" t="n">
        <v>50</v>
      </c>
      <c r="P309" t="n">
        <v>0.001587</v>
      </c>
      <c r="Q309" t="n">
        <v>70</v>
      </c>
      <c r="R309" t="n">
        <v>0.076</v>
      </c>
      <c r="S309">
        <f>IMAGE("https://mitra.stanford.edu/kundaje/oak/projects/neuro-variants/variant_position/credible/roussos_2024/variant_figures/roussos_2024.childhood.Astrocyte/rs12047160_count_position.png",4,220,900)</f>
        <v/>
      </c>
      <c r="T309">
        <f>IMAGE("https://mitra.stanford.edu/kundaje/oak/projects/neuro-variants/variant_position/credible/roussos_2024/variant_figures/roussos_2024.childhood.Astrocyte/rs12047160_profile_position.png",4,220,900)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-0.01355559608</v>
      </c>
      <c r="G310" t="n">
        <v>0.577264655514278</v>
      </c>
      <c r="H310" t="n">
        <v>0.0815036845299331</v>
      </c>
      <c r="I310" t="n">
        <v>0.0007229220064366</v>
      </c>
      <c r="J310" t="n">
        <v>0.0049712623938082</v>
      </c>
      <c r="K310" t="n">
        <v>0.778142099560884</v>
      </c>
      <c r="L310" t="b">
        <v>0</v>
      </c>
      <c r="M310" t="b">
        <v>0</v>
      </c>
      <c r="N310" t="inlineStr">
        <is>
          <t>ref</t>
        </is>
      </c>
      <c r="O310" t="n">
        <v>50</v>
      </c>
      <c r="P310" t="n">
        <v>0.0083</v>
      </c>
      <c r="Q310" t="n">
        <v>40</v>
      </c>
      <c r="R310" t="n">
        <v>0.1155</v>
      </c>
      <c r="S310">
        <f>IMAGE("https://mitra.stanford.edu/kundaje/oak/projects/neuro-variants/variant_position/credible/roussos_2024/variant_figures/roussos_2024.childhood.Astrocyte/rs12144580_count_position.png",4,220,900)</f>
        <v/>
      </c>
      <c r="T310">
        <f>IMAGE("https://mitra.stanford.edu/kundaje/oak/projects/neuro-variants/variant_position/credible/roussos_2024/variant_figures/roussos_2024.childhood.Astrocyte/rs12144580_profile_position.png",4,220,900)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-0.1175452734</v>
      </c>
      <c r="G311" t="n">
        <v>0.0585400856594041</v>
      </c>
      <c r="H311" t="n">
        <v>0.0173260660256394</v>
      </c>
      <c r="I311" t="n">
        <v>0.2156924572423677</v>
      </c>
      <c r="J311" t="n">
        <v>0.584393915107661</v>
      </c>
      <c r="K311" t="n">
        <v>0.036748219379944</v>
      </c>
      <c r="L311" t="b">
        <v>0</v>
      </c>
      <c r="M311" t="b">
        <v>0</v>
      </c>
      <c r="N311" t="inlineStr">
        <is>
          <t>ref</t>
        </is>
      </c>
      <c r="O311" t="n">
        <v>-100</v>
      </c>
      <c r="P311" t="n">
        <v>0.01532</v>
      </c>
      <c r="Q311" t="n">
        <v>-90</v>
      </c>
      <c r="R311" t="n">
        <v>0.02832</v>
      </c>
      <c r="S311">
        <f>IMAGE("https://mitra.stanford.edu/kundaje/oak/projects/neuro-variants/variant_position/credible/roussos_2024/variant_figures/roussos_2024.childhood.Astrocyte/rs6425537_count_position.png",4,220,900)</f>
        <v/>
      </c>
      <c r="T311">
        <f>IMAGE("https://mitra.stanford.edu/kundaje/oak/projects/neuro-variants/variant_position/credible/roussos_2024/variant_figures/roussos_2024.childhood.Astrocyte/rs6425537_profile_position.png",4,220,900)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0.0011230331243999</v>
      </c>
      <c r="G312" t="n">
        <v>0.9088957601659609</v>
      </c>
      <c r="H312" t="n">
        <v>0.0160104233028583</v>
      </c>
      <c r="I312" t="n">
        <v>0.2474804357701178</v>
      </c>
      <c r="J312" t="n">
        <v>0.8378992924366283</v>
      </c>
      <c r="K312" t="n">
        <v>0.0054185080954961</v>
      </c>
      <c r="L312" t="b">
        <v>0</v>
      </c>
      <c r="M312" t="b">
        <v>0</v>
      </c>
      <c r="N312" t="inlineStr">
        <is>
          <t>alt</t>
        </is>
      </c>
      <c r="O312" t="n">
        <v>90</v>
      </c>
      <c r="P312" t="n">
        <v>0.04385</v>
      </c>
      <c r="Q312" t="n">
        <v>90</v>
      </c>
      <c r="R312" t="n">
        <v>0.7886</v>
      </c>
      <c r="S312">
        <f>IMAGE("https://mitra.stanford.edu/kundaje/oak/projects/neuro-variants/variant_position/credible/roussos_2024/variant_figures/roussos_2024.childhood.Astrocyte/rs56147147_count_position.png",4,220,900)</f>
        <v/>
      </c>
      <c r="T312">
        <f>IMAGE("https://mitra.stanford.edu/kundaje/oak/projects/neuro-variants/variant_position/credible/roussos_2024/variant_figures/roussos_2024.childhood.Astrocyte/rs56147147_profile_position.png",4,220,900)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0.0251039239</v>
      </c>
      <c r="G313" t="n">
        <v>0.3432002979943622</v>
      </c>
      <c r="H313" t="n">
        <v>0.0195673871681887</v>
      </c>
      <c r="I313" t="n">
        <v>0.13805445036739</v>
      </c>
      <c r="J313" t="n">
        <v>0.8808217505133078</v>
      </c>
      <c r="K313" t="n">
        <v>0.0027574015213919</v>
      </c>
      <c r="L313" t="b">
        <v>0</v>
      </c>
      <c r="M313" t="b">
        <v>0</v>
      </c>
      <c r="N313" t="inlineStr">
        <is>
          <t>alt</t>
        </is>
      </c>
      <c r="O313" t="n">
        <v>-40</v>
      </c>
      <c r="P313" t="n">
        <v>0.007996</v>
      </c>
      <c r="Q313" t="n">
        <v>85</v>
      </c>
      <c r="R313" t="n">
        <v>0.1895</v>
      </c>
      <c r="S313">
        <f>IMAGE("https://mitra.stanford.edu/kundaje/oak/projects/neuro-variants/variant_position/credible/roussos_2024/variant_figures/roussos_2024.childhood.Astrocyte/rs55986478_count_position.png",4,220,900)</f>
        <v/>
      </c>
      <c r="T313">
        <f>IMAGE("https://mitra.stanford.edu/kundaje/oak/projects/neuro-variants/variant_position/credible/roussos_2024/variant_figures/roussos_2024.childhood.Astrocyte/rs55986478_profile_position.png",4,220,900)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-0.1192708102259999</v>
      </c>
      <c r="G314" t="n">
        <v>0.0776979456993811</v>
      </c>
      <c r="H314" t="n">
        <v>0.0311285527843114</v>
      </c>
      <c r="I314" t="n">
        <v>0.034955388198637</v>
      </c>
      <c r="J314" t="n">
        <v>0.8875371146374788</v>
      </c>
      <c r="K314" t="n">
        <v>0.0023943838355202</v>
      </c>
      <c r="L314" t="b">
        <v>0</v>
      </c>
      <c r="M314" t="b">
        <v>0</v>
      </c>
      <c r="N314" t="inlineStr">
        <is>
          <t>ref</t>
        </is>
      </c>
      <c r="O314" t="n">
        <v>-80</v>
      </c>
      <c r="P314" t="n">
        <v>0.03096</v>
      </c>
      <c r="Q314" t="n">
        <v>-80</v>
      </c>
      <c r="R314" t="n">
        <v>0.5522</v>
      </c>
      <c r="S314">
        <f>IMAGE("https://mitra.stanford.edu/kundaje/oak/projects/neuro-variants/variant_position/credible/roussos_2024/variant_figures/roussos_2024.childhood.Astrocyte/rs55906130_count_position.png",4,220,900)</f>
        <v/>
      </c>
      <c r="T314">
        <f>IMAGE("https://mitra.stanford.edu/kundaje/oak/projects/neuro-variants/variant_position/credible/roussos_2024/variant_figures/roussos_2024.childhood.Astrocyte/rs55906130_profile_position.png",4,220,900)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0.0544345372</v>
      </c>
      <c r="G315" t="n">
        <v>0.1960560742339359</v>
      </c>
      <c r="H315" t="n">
        <v>0.0151098718911643</v>
      </c>
      <c r="I315" t="n">
        <v>0.2897673937383336</v>
      </c>
      <c r="J315" t="n">
        <v>0.8865112622411516</v>
      </c>
      <c r="K315" t="n">
        <v>0.0024060813601941</v>
      </c>
      <c r="L315" t="b">
        <v>0</v>
      </c>
      <c r="M315" t="b">
        <v>0</v>
      </c>
      <c r="N315" t="inlineStr">
        <is>
          <t>alt</t>
        </is>
      </c>
      <c r="O315" t="n">
        <v>-100</v>
      </c>
      <c r="P315" t="n">
        <v>0.006775</v>
      </c>
      <c r="Q315" t="n">
        <v>-50</v>
      </c>
      <c r="R315" t="n">
        <v>0.0547</v>
      </c>
      <c r="S315">
        <f>IMAGE("https://mitra.stanford.edu/kundaje/oak/projects/neuro-variants/variant_position/credible/roussos_2024/variant_figures/roussos_2024.childhood.Astrocyte/rs11577489_count_position.png",4,220,900)</f>
        <v/>
      </c>
      <c r="T315">
        <f>IMAGE("https://mitra.stanford.edu/kundaje/oak/projects/neuro-variants/variant_position/credible/roussos_2024/variant_figures/roussos_2024.childhood.Astrocyte/rs11577489_profile_position.png",4,220,900)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0.0434433816</v>
      </c>
      <c r="G316" t="n">
        <v>0.2728562004603259</v>
      </c>
      <c r="H316" t="n">
        <v>0.0117437343935462</v>
      </c>
      <c r="I316" t="n">
        <v>0.5373241527758968</v>
      </c>
      <c r="J316" t="n">
        <v>0.012840710463847</v>
      </c>
      <c r="K316" t="n">
        <v>0.6548912995305398</v>
      </c>
      <c r="L316" t="b">
        <v>0</v>
      </c>
      <c r="M316" t="b">
        <v>0</v>
      </c>
      <c r="N316" t="inlineStr">
        <is>
          <t>alt</t>
        </is>
      </c>
      <c r="O316" t="n">
        <v>100</v>
      </c>
      <c r="P316" t="n">
        <v>0.00873</v>
      </c>
      <c r="Q316" t="n">
        <v>-25</v>
      </c>
      <c r="R316" t="n">
        <v>0.05267</v>
      </c>
      <c r="S316">
        <f>IMAGE("https://mitra.stanford.edu/kundaje/oak/projects/neuro-variants/variant_position/credible/roussos_2024/variant_figures/roussos_2024.childhood.Astrocyte/rs12135111_count_position.png",4,220,900)</f>
        <v/>
      </c>
      <c r="T316">
        <f>IMAGE("https://mitra.stanford.edu/kundaje/oak/projects/neuro-variants/variant_position/credible/roussos_2024/variant_figures/roussos_2024.childhood.Astrocyte/rs12135111_profile_position.png",4,220,900)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0.00377789008</v>
      </c>
      <c r="G317" t="n">
        <v>0.873352611966233</v>
      </c>
      <c r="H317" t="n">
        <v>0.0227557056136569</v>
      </c>
      <c r="I317" t="n">
        <v>0.0811592563255077</v>
      </c>
      <c r="J317" t="n">
        <v>0.0030798470380801</v>
      </c>
      <c r="K317" t="n">
        <v>0.8249357199150431</v>
      </c>
      <c r="L317" t="b">
        <v>0</v>
      </c>
      <c r="M317" t="b">
        <v>0</v>
      </c>
      <c r="N317" t="inlineStr">
        <is>
          <t>alt</t>
        </is>
      </c>
      <c r="O317" t="n">
        <v>85</v>
      </c>
      <c r="P317" t="n">
        <v>0.0443</v>
      </c>
      <c r="Q317" t="n">
        <v>-100</v>
      </c>
      <c r="R317" t="n">
        <v>0.08325</v>
      </c>
      <c r="S317">
        <f>IMAGE("https://mitra.stanford.edu/kundaje/oak/projects/neuro-variants/variant_position/credible/roussos_2024/variant_figures/roussos_2024.childhood.Astrocyte/rs6674331_count_position.png",4,220,900)</f>
        <v/>
      </c>
      <c r="T317">
        <f>IMAGE("https://mitra.stanford.edu/kundaje/oak/projects/neuro-variants/variant_position/credible/roussos_2024/variant_figures/roussos_2024.childhood.Astrocyte/rs6674331_profile_position.png",4,220,900)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0.01595113054</v>
      </c>
      <c r="G318" t="n">
        <v>0.5483511186661268</v>
      </c>
      <c r="H318" t="n">
        <v>0.0315612285373762</v>
      </c>
      <c r="I318" t="n">
        <v>0.0254918016803196</v>
      </c>
      <c r="J318" t="n">
        <v>0.1301847908222847</v>
      </c>
      <c r="K318" t="n">
        <v>0.2859203123928748</v>
      </c>
      <c r="L318" t="b">
        <v>0</v>
      </c>
      <c r="M318" t="b">
        <v>0</v>
      </c>
      <c r="N318" t="inlineStr">
        <is>
          <t>alt</t>
        </is>
      </c>
      <c r="O318" t="n">
        <v>35</v>
      </c>
      <c r="P318" t="n">
        <v>0.01709</v>
      </c>
      <c r="Q318" t="n">
        <v>100</v>
      </c>
      <c r="R318" t="n">
        <v>0.08840000000000001</v>
      </c>
      <c r="S318">
        <f>IMAGE("https://mitra.stanford.edu/kundaje/oak/projects/neuro-variants/variant_position/credible/roussos_2024/variant_figures/roussos_2024.childhood.Astrocyte/rs202196017_count_position.png",4,220,900)</f>
        <v/>
      </c>
      <c r="T318">
        <f>IMAGE("https://mitra.stanford.edu/kundaje/oak/projects/neuro-variants/variant_position/credible/roussos_2024/variant_figures/roussos_2024.childhood.Astrocyte/rs202196017_profile_position.png",4,220,900)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-0.0709482292</v>
      </c>
      <c r="G319" t="n">
        <v>0.1364845555012545</v>
      </c>
      <c r="H319" t="n">
        <v>0.0114650965260054</v>
      </c>
      <c r="I319" t="n">
        <v>0.5641749845673079</v>
      </c>
      <c r="J319" t="n">
        <v>0.1084678619678962</v>
      </c>
      <c r="K319" t="n">
        <v>0.3095710998698365</v>
      </c>
      <c r="L319" t="b">
        <v>0</v>
      </c>
      <c r="M319" t="b">
        <v>0</v>
      </c>
      <c r="N319" t="inlineStr">
        <is>
          <t>ref</t>
        </is>
      </c>
      <c r="O319" t="n">
        <v>-60</v>
      </c>
      <c r="P319" t="n">
        <v>0.07294</v>
      </c>
      <c r="Q319" t="n">
        <v>-60</v>
      </c>
      <c r="R319" t="n">
        <v>0.04724</v>
      </c>
      <c r="S319">
        <f>IMAGE("https://mitra.stanford.edu/kundaje/oak/projects/neuro-variants/variant_position/credible/roussos_2024/variant_figures/roussos_2024.childhood.Astrocyte/rs12120123_count_position.png",4,220,900)</f>
        <v/>
      </c>
      <c r="T319">
        <f>IMAGE("https://mitra.stanford.edu/kundaje/oak/projects/neuro-variants/variant_position/credible/roussos_2024/variant_figures/roussos_2024.childhood.Astrocyte/rs12120123_profile_position.png",4,220,900)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-0.282827596</v>
      </c>
      <c r="G320" t="n">
        <v>0.0075367477364404</v>
      </c>
      <c r="H320" t="n">
        <v>0.037384463892709</v>
      </c>
      <c r="I320" t="n">
        <v>0.0145281935369947</v>
      </c>
      <c r="J320" t="n">
        <v>0.07486585300695341</v>
      </c>
      <c r="K320" t="n">
        <v>0.3827311415194097</v>
      </c>
      <c r="L320" t="b">
        <v>1</v>
      </c>
      <c r="M320" t="b">
        <v>1</v>
      </c>
      <c r="N320" t="inlineStr">
        <is>
          <t>ref</t>
        </is>
      </c>
      <c r="O320" t="n">
        <v>0</v>
      </c>
      <c r="P320" t="n">
        <v>0</v>
      </c>
      <c r="Q320" t="n">
        <v>-15</v>
      </c>
      <c r="R320" t="n">
        <v>0.01245</v>
      </c>
      <c r="S320">
        <f>IMAGE("https://mitra.stanford.edu/kundaje/oak/projects/neuro-variants/variant_position/credible/roussos_2024/variant_figures/roussos_2024.childhood.Astrocyte/rs12097041_count_position.png",4,220,900)</f>
        <v/>
      </c>
      <c r="T320">
        <f>IMAGE("https://mitra.stanford.edu/kundaje/oak/projects/neuro-variants/variant_position/credible/roussos_2024/variant_figures/roussos_2024.childhood.Astrocyte/rs12097041_profile_position.png",4,220,900)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0.13124659</v>
      </c>
      <c r="G321" t="n">
        <v>0.0451201314883934</v>
      </c>
      <c r="H321" t="n">
        <v>0.0167650897129953</v>
      </c>
      <c r="I321" t="n">
        <v>0.2216146535382268</v>
      </c>
      <c r="J321" t="n">
        <v>0.043472021860426</v>
      </c>
      <c r="K321" t="n">
        <v>0.4887865011415626</v>
      </c>
      <c r="L321" t="b">
        <v>0</v>
      </c>
      <c r="M321" t="b">
        <v>0</v>
      </c>
      <c r="N321" t="inlineStr">
        <is>
          <t>alt</t>
        </is>
      </c>
      <c r="O321" t="n">
        <v>70</v>
      </c>
      <c r="P321" t="n">
        <v>0.01318</v>
      </c>
      <c r="Q321" t="n">
        <v>70</v>
      </c>
      <c r="R321" t="n">
        <v>0.256</v>
      </c>
      <c r="S321">
        <f>IMAGE("https://mitra.stanford.edu/kundaje/oak/projects/neuro-variants/variant_position/credible/roussos_2024/variant_figures/roussos_2024.childhood.Astrocyte/rs12118625_count_position.png",4,220,900)</f>
        <v/>
      </c>
      <c r="T321">
        <f>IMAGE("https://mitra.stanford.edu/kundaje/oak/projects/neuro-variants/variant_position/credible/roussos_2024/variant_figures/roussos_2024.childhood.Astrocyte/rs12118625_profile_position.png",4,220,900)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0.0174038634</v>
      </c>
      <c r="G322" t="n">
        <v>0.5624165635255366</v>
      </c>
      <c r="H322" t="n">
        <v>0.0093691959639085</v>
      </c>
      <c r="I322" t="n">
        <v>0.7407038737710114</v>
      </c>
      <c r="J322" t="n">
        <v>0.2880034805706303</v>
      </c>
      <c r="K322" t="n">
        <v>0.1397338028655937</v>
      </c>
      <c r="L322" t="b">
        <v>0</v>
      </c>
      <c r="M322" t="b">
        <v>0</v>
      </c>
      <c r="N322" t="inlineStr">
        <is>
          <t>alt</t>
        </is>
      </c>
      <c r="O322" t="n">
        <v>-80</v>
      </c>
      <c r="P322" t="n">
        <v>0.005013</v>
      </c>
      <c r="Q322" t="n">
        <v>55</v>
      </c>
      <c r="R322" t="n">
        <v>0.03638</v>
      </c>
      <c r="S322">
        <f>IMAGE("https://mitra.stanford.edu/kundaje/oak/projects/neuro-variants/variant_position/credible/roussos_2024/variant_figures/roussos_2024.childhood.Astrocyte/rs10913758_count_position.png",4,220,900)</f>
        <v/>
      </c>
      <c r="T322">
        <f>IMAGE("https://mitra.stanford.edu/kundaje/oak/projects/neuro-variants/variant_position/credible/roussos_2024/variant_figures/roussos_2024.childhood.Astrocyte/rs10913758_profile_position.png",4,220,900)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-0.0282182091199999</v>
      </c>
      <c r="G323" t="n">
        <v>0.410284681544882</v>
      </c>
      <c r="H323" t="n">
        <v>0.0111585905571206</v>
      </c>
      <c r="I323" t="n">
        <v>0.6019347148566565</v>
      </c>
      <c r="J323" t="n">
        <v>5.342981230869942e-05</v>
      </c>
      <c r="K323" t="n">
        <v>0.995041347818486</v>
      </c>
      <c r="L323" t="b">
        <v>0</v>
      </c>
      <c r="M323" t="b">
        <v>0</v>
      </c>
      <c r="N323" t="inlineStr">
        <is>
          <t>ref</t>
        </is>
      </c>
      <c r="O323" t="n">
        <v>-100</v>
      </c>
      <c r="P323" t="n">
        <v>0.00241</v>
      </c>
      <c r="Q323" t="n">
        <v>50</v>
      </c>
      <c r="R323" t="n">
        <v>0.09814000000000001</v>
      </c>
      <c r="S323">
        <f>IMAGE("https://mitra.stanford.edu/kundaje/oak/projects/neuro-variants/variant_position/credible/roussos_2024/variant_figures/roussos_2024.childhood.Astrocyte/rs36144856_count_position.png",4,220,900)</f>
        <v/>
      </c>
      <c r="T323">
        <f>IMAGE("https://mitra.stanford.edu/kundaje/oak/projects/neuro-variants/variant_position/credible/roussos_2024/variant_figures/roussos_2024.childhood.Astrocyte/rs36144856_profile_position.png",4,220,900)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0.02657549674</v>
      </c>
      <c r="G324" t="n">
        <v>0.4491754874210449</v>
      </c>
      <c r="H324" t="n">
        <v>0.0208527010675526</v>
      </c>
      <c r="I324" t="n">
        <v>0.1119150404743709</v>
      </c>
      <c r="J324" t="n">
        <v>0.0104493447215161</v>
      </c>
      <c r="K324" t="n">
        <v>0.686673734357899</v>
      </c>
      <c r="L324" t="b">
        <v>0</v>
      </c>
      <c r="M324" t="b">
        <v>0</v>
      </c>
      <c r="N324" t="inlineStr">
        <is>
          <t>alt</t>
        </is>
      </c>
      <c r="O324" t="n">
        <v>65</v>
      </c>
      <c r="P324" t="n">
        <v>0.002235</v>
      </c>
      <c r="Q324" t="n">
        <v>5</v>
      </c>
      <c r="R324" t="n">
        <v>0.003601</v>
      </c>
      <c r="S324">
        <f>IMAGE("https://mitra.stanford.edu/kundaje/oak/projects/neuro-variants/variant_position/credible/roussos_2024/variant_figures/roussos_2024.childhood.Astrocyte/rs12131475_count_position.png",4,220,900)</f>
        <v/>
      </c>
      <c r="T324">
        <f>IMAGE("https://mitra.stanford.edu/kundaje/oak/projects/neuro-variants/variant_position/credible/roussos_2024/variant_figures/roussos_2024.childhood.Astrocyte/rs12131475_profile_position.png",4,220,900)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0.0028294193059999</v>
      </c>
      <c r="G325" t="n">
        <v>0.7617307978543941</v>
      </c>
      <c r="H325" t="n">
        <v>0.0159899727727349</v>
      </c>
      <c r="I325" t="n">
        <v>0.2478171728033176</v>
      </c>
      <c r="J325" t="n">
        <v>0.0013884118369932</v>
      </c>
      <c r="K325" t="n">
        <v>0.8927492679103411</v>
      </c>
      <c r="L325" t="b">
        <v>0</v>
      </c>
      <c r="M325" t="b">
        <v>0</v>
      </c>
      <c r="N325" t="inlineStr">
        <is>
          <t>alt</t>
        </is>
      </c>
      <c r="O325" t="n">
        <v>-35</v>
      </c>
      <c r="P325" t="n">
        <v>0.01128</v>
      </c>
      <c r="Q325" t="n">
        <v>5</v>
      </c>
      <c r="R325" t="n">
        <v>0.0004272</v>
      </c>
      <c r="S325">
        <f>IMAGE("https://mitra.stanford.edu/kundaje/oak/projects/neuro-variants/variant_position/credible/roussos_2024/variant_figures/roussos_2024.childhood.Astrocyte/rs1928006_count_position.png",4,220,900)</f>
        <v/>
      </c>
      <c r="T325">
        <f>IMAGE("https://mitra.stanford.edu/kundaje/oak/projects/neuro-variants/variant_position/credible/roussos_2024/variant_figures/roussos_2024.childhood.Astrocyte/rs1928006_profile_position.png",4,220,900)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0.02658413532</v>
      </c>
      <c r="G326" t="n">
        <v>0.4353749286179041</v>
      </c>
      <c r="H326" t="n">
        <v>0.010067503265107</v>
      </c>
      <c r="I326" t="n">
        <v>0.6882126538481421</v>
      </c>
      <c r="J326" t="n">
        <v>0.0200178608229717</v>
      </c>
      <c r="K326" t="n">
        <v>0.5933572931826435</v>
      </c>
      <c r="L326" t="b">
        <v>0</v>
      </c>
      <c r="M326" t="b">
        <v>0</v>
      </c>
      <c r="N326" t="inlineStr">
        <is>
          <t>alt</t>
        </is>
      </c>
      <c r="O326" t="n">
        <v>-75</v>
      </c>
      <c r="P326" t="n">
        <v>0.03348</v>
      </c>
      <c r="Q326" t="n">
        <v>-40</v>
      </c>
      <c r="R326" t="n">
        <v>0.1399</v>
      </c>
      <c r="S326">
        <f>IMAGE("https://mitra.stanford.edu/kundaje/oak/projects/neuro-variants/variant_position/credible/roussos_2024/variant_figures/roussos_2024.childhood.Astrocyte/rs36100834_count_position.png",4,220,900)</f>
        <v/>
      </c>
      <c r="T326">
        <f>IMAGE("https://mitra.stanford.edu/kundaje/oak/projects/neuro-variants/variant_position/credible/roussos_2024/variant_figures/roussos_2024.childhood.Astrocyte/rs36100834_profile_position.png",4,220,900)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-0.09840945279999989</v>
      </c>
      <c r="G327" t="n">
        <v>0.077424465892837</v>
      </c>
      <c r="H327" t="n">
        <v>0.0289399350731368</v>
      </c>
      <c r="I327" t="n">
        <v>0.0357600841618426</v>
      </c>
      <c r="J327" t="n">
        <v>0.0024150275163532</v>
      </c>
      <c r="K327" t="n">
        <v>0.8412564422684818</v>
      </c>
      <c r="L327" t="b">
        <v>0</v>
      </c>
      <c r="M327" t="b">
        <v>0</v>
      </c>
      <c r="N327" t="inlineStr">
        <is>
          <t>ref</t>
        </is>
      </c>
      <c r="O327" t="n">
        <v>0</v>
      </c>
      <c r="P327" t="n">
        <v>0</v>
      </c>
      <c r="Q327" t="n">
        <v>25</v>
      </c>
      <c r="R327" t="n">
        <v>0.04718</v>
      </c>
      <c r="S327">
        <f>IMAGE("https://mitra.stanford.edu/kundaje/oak/projects/neuro-variants/variant_position/credible/roussos_2024/variant_figures/roussos_2024.childhood.Astrocyte/rs61826032_count_position.png",4,220,900)</f>
        <v/>
      </c>
      <c r="T327">
        <f>IMAGE("https://mitra.stanford.edu/kundaje/oak/projects/neuro-variants/variant_position/credible/roussos_2024/variant_figures/roussos_2024.childhood.Astrocyte/rs61826032_profile_position.png",4,220,900)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0.1186682848</v>
      </c>
      <c r="G328" t="n">
        <v>0.0517734690610932</v>
      </c>
      <c r="H328" t="n">
        <v>0.0266458316510832</v>
      </c>
      <c r="I328" t="n">
        <v>0.0474854206085096</v>
      </c>
      <c r="J328" t="n">
        <v>0.0338874768152778</v>
      </c>
      <c r="K328" t="n">
        <v>0.5327592066888809</v>
      </c>
      <c r="L328" t="b">
        <v>0</v>
      </c>
      <c r="M328" t="b">
        <v>0</v>
      </c>
      <c r="N328" t="inlineStr">
        <is>
          <t>alt</t>
        </is>
      </c>
      <c r="O328" t="n">
        <v>95</v>
      </c>
      <c r="P328" t="n">
        <v>0.003586</v>
      </c>
      <c r="Q328" t="n">
        <v>85</v>
      </c>
      <c r="R328" t="n">
        <v>0.1023</v>
      </c>
      <c r="S328">
        <f>IMAGE("https://mitra.stanford.edu/kundaje/oak/projects/neuro-variants/variant_position/credible/roussos_2024/variant_figures/roussos_2024.childhood.Astrocyte/rs35954891_count_position.png",4,220,900)</f>
        <v/>
      </c>
      <c r="T328">
        <f>IMAGE("https://mitra.stanford.edu/kundaje/oak/projects/neuro-variants/variant_position/credible/roussos_2024/variant_figures/roussos_2024.childhood.Astrocyte/rs35954891_profile_position.png",4,220,900)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-0.0051727889199999</v>
      </c>
      <c r="G329" t="n">
        <v>0.8400067595194056</v>
      </c>
      <c r="H329" t="n">
        <v>0.025656437529784</v>
      </c>
      <c r="I329" t="n">
        <v>0.0538349801565594</v>
      </c>
      <c r="J329" t="n">
        <v>0.0224679993588422</v>
      </c>
      <c r="K329" t="n">
        <v>0.5726177400178954</v>
      </c>
      <c r="L329" t="b">
        <v>0</v>
      </c>
      <c r="M329" t="b">
        <v>0</v>
      </c>
      <c r="N329" t="inlineStr">
        <is>
          <t>ref</t>
        </is>
      </c>
      <c r="O329" t="n">
        <v>90</v>
      </c>
      <c r="P329" t="n">
        <v>0.01355</v>
      </c>
      <c r="Q329" t="n">
        <v>40</v>
      </c>
      <c r="R329" t="n">
        <v>0.07434</v>
      </c>
      <c r="S329">
        <f>IMAGE("https://mitra.stanford.edu/kundaje/oak/projects/neuro-variants/variant_position/credible/roussos_2024/variant_figures/roussos_2024.childhood.Astrocyte/rs10913808_count_position.png",4,220,900)</f>
        <v/>
      </c>
      <c r="T329">
        <f>IMAGE("https://mitra.stanford.edu/kundaje/oak/projects/neuro-variants/variant_position/credible/roussos_2024/variant_figures/roussos_2024.childhood.Astrocyte/rs10913808_profile_position.png",4,220,900)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-0.1915320959999999</v>
      </c>
      <c r="G330" t="n">
        <v>0.0181740808419934</v>
      </c>
      <c r="H330" t="n">
        <v>0.0275548454543769</v>
      </c>
      <c r="I330" t="n">
        <v>0.0436519499282623</v>
      </c>
      <c r="J330" t="n">
        <v>0.0700831215222916</v>
      </c>
      <c r="K330" t="n">
        <v>0.3850541351857799</v>
      </c>
      <c r="L330" t="b">
        <v>1</v>
      </c>
      <c r="M330" t="b">
        <v>0</v>
      </c>
      <c r="N330" t="inlineStr">
        <is>
          <t>ref</t>
        </is>
      </c>
      <c r="O330" t="n">
        <v>80</v>
      </c>
      <c r="P330" t="n">
        <v>0.007298</v>
      </c>
      <c r="Q330" t="n">
        <v>-55</v>
      </c>
      <c r="R330" t="n">
        <v>0.1252</v>
      </c>
      <c r="S330">
        <f>IMAGE("https://mitra.stanford.edu/kundaje/oak/projects/neuro-variants/variant_position/credible/roussos_2024/variant_figures/roussos_2024.childhood.Astrocyte/rs12135209_count_position.png",4,220,900)</f>
        <v/>
      </c>
      <c r="T330">
        <f>IMAGE("https://mitra.stanford.edu/kundaje/oak/projects/neuro-variants/variant_position/credible/roussos_2024/variant_figures/roussos_2024.childhood.Astrocyte/rs12135209_profile_position.png",4,220,900)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-0.0049885029</v>
      </c>
      <c r="G331" t="n">
        <v>0.5581000830391459</v>
      </c>
      <c r="H331" t="n">
        <v>0.009331851157984</v>
      </c>
      <c r="I331" t="n">
        <v>0.7522680541592082</v>
      </c>
      <c r="J331" t="n">
        <v>0.5225527237755032</v>
      </c>
      <c r="K331" t="n">
        <v>0.0505065574575912</v>
      </c>
      <c r="L331" t="b">
        <v>0</v>
      </c>
      <c r="M331" t="b">
        <v>0</v>
      </c>
      <c r="N331" t="inlineStr">
        <is>
          <t>ref</t>
        </is>
      </c>
      <c r="O331" t="n">
        <v>-85</v>
      </c>
      <c r="P331" t="n">
        <v>0.009445</v>
      </c>
      <c r="Q331" t="n">
        <v>95</v>
      </c>
      <c r="R331" t="n">
        <v>0.0668</v>
      </c>
      <c r="S331">
        <f>IMAGE("https://mitra.stanford.edu/kundaje/oak/projects/neuro-variants/variant_position/credible/roussos_2024/variant_figures/roussos_2024.childhood.Astrocyte/rs296534_count_position.png",4,220,900)</f>
        <v/>
      </c>
      <c r="T331">
        <f>IMAGE("https://mitra.stanford.edu/kundaje/oak/projects/neuro-variants/variant_position/credible/roussos_2024/variant_figures/roussos_2024.childhood.Astrocyte/rs296534_profile_position.png",4,220,900)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0.0075642794</v>
      </c>
      <c r="G332" t="n">
        <v>0.6921329742737434</v>
      </c>
      <c r="H332" t="n">
        <v>0.0086207374642527</v>
      </c>
      <c r="I332" t="n">
        <v>0.8242047755398035</v>
      </c>
      <c r="J332" t="n">
        <v>0.2044079595154679</v>
      </c>
      <c r="K332" t="n">
        <v>0.1965766682121618</v>
      </c>
      <c r="L332" t="b">
        <v>0</v>
      </c>
      <c r="M332" t="b">
        <v>0</v>
      </c>
      <c r="N332" t="inlineStr">
        <is>
          <t>alt</t>
        </is>
      </c>
      <c r="O332" t="n">
        <v>-90</v>
      </c>
      <c r="P332" t="n">
        <v>0.04498</v>
      </c>
      <c r="Q332" t="n">
        <v>-95</v>
      </c>
      <c r="R332" t="n">
        <v>0.4717</v>
      </c>
      <c r="S332">
        <f>IMAGE("https://mitra.stanford.edu/kundaje/oak/projects/neuro-variants/variant_position/credible/roussos_2024/variant_figures/roussos_2024.childhood.Astrocyte/rs11579874_count_position.png",4,220,900)</f>
        <v/>
      </c>
      <c r="T332">
        <f>IMAGE("https://mitra.stanford.edu/kundaje/oak/projects/neuro-variants/variant_position/credible/roussos_2024/variant_figures/roussos_2024.childhood.Astrocyte/rs11579874_profile_position.png",4,220,900)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0.01322107134</v>
      </c>
      <c r="G333" t="n">
        <v>0.6394677726730039</v>
      </c>
      <c r="H333" t="n">
        <v>0.0150600991354721</v>
      </c>
      <c r="I333" t="n">
        <v>0.2996997068816902</v>
      </c>
      <c r="J333" t="n">
        <v>0.2408287727172113</v>
      </c>
      <c r="K333" t="n">
        <v>0.1676621613958845</v>
      </c>
      <c r="L333" t="b">
        <v>0</v>
      </c>
      <c r="M333" t="b">
        <v>0</v>
      </c>
      <c r="N333" t="inlineStr">
        <is>
          <t>alt</t>
        </is>
      </c>
      <c r="O333" t="n">
        <v>-75</v>
      </c>
      <c r="P333" t="n">
        <v>0.00672</v>
      </c>
      <c r="Q333" t="n">
        <v>95</v>
      </c>
      <c r="R333" t="n">
        <v>0.0785</v>
      </c>
      <c r="S333">
        <f>IMAGE("https://mitra.stanford.edu/kundaje/oak/projects/neuro-variants/variant_position/credible/roussos_2024/variant_figures/roussos_2024.childhood.Astrocyte/rs4915471_count_position.png",4,220,900)</f>
        <v/>
      </c>
      <c r="T333">
        <f>IMAGE("https://mitra.stanford.edu/kundaje/oak/projects/neuro-variants/variant_position/credible/roussos_2024/variant_figures/roussos_2024.childhood.Astrocyte/rs4915471_profile_position.png",4,220,900)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0.0073781587999999</v>
      </c>
      <c r="G334" t="n">
        <v>0.4856098970509834</v>
      </c>
      <c r="H334" t="n">
        <v>0.009011884310553501</v>
      </c>
      <c r="I334" t="n">
        <v>0.8161257469321014</v>
      </c>
      <c r="J334" t="n">
        <v>0.7721401692961768</v>
      </c>
      <c r="K334" t="n">
        <v>0.0104092029469817</v>
      </c>
      <c r="L334" t="b">
        <v>0</v>
      </c>
      <c r="M334" t="b">
        <v>0</v>
      </c>
      <c r="N334" t="inlineStr">
        <is>
          <t>alt</t>
        </is>
      </c>
      <c r="O334" t="n">
        <v>100</v>
      </c>
      <c r="P334" t="n">
        <v>0.334</v>
      </c>
      <c r="Q334" t="n">
        <v>85</v>
      </c>
      <c r="R334" t="n">
        <v>0.5093</v>
      </c>
      <c r="S334">
        <f>IMAGE("https://mitra.stanford.edu/kundaje/oak/projects/neuro-variants/variant_position/credible/roussos_2024/variant_figures/roussos_2024.childhood.Astrocyte/rs148277892_count_position.png",4,220,900)</f>
        <v/>
      </c>
      <c r="T334">
        <f>IMAGE("https://mitra.stanford.edu/kundaje/oak/projects/neuro-variants/variant_position/credible/roussos_2024/variant_figures/roussos_2024.childhood.Astrocyte/rs148277892_profile_position.png",4,220,900)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0.100286915</v>
      </c>
      <c r="G335" t="n">
        <v>0.0684098631367151</v>
      </c>
      <c r="H335" t="n">
        <v>0.012300702995351</v>
      </c>
      <c r="I335" t="n">
        <v>0.4852234962144894</v>
      </c>
      <c r="J335" t="n">
        <v>0.1309908177051132</v>
      </c>
      <c r="K335" t="n">
        <v>0.2859038179381221</v>
      </c>
      <c r="L335" t="b">
        <v>0</v>
      </c>
      <c r="M335" t="b">
        <v>0</v>
      </c>
      <c r="N335" t="inlineStr">
        <is>
          <t>alt</t>
        </is>
      </c>
      <c r="O335" t="n">
        <v>-65</v>
      </c>
      <c r="P335" t="n">
        <v>0.002815</v>
      </c>
      <c r="Q335" t="n">
        <v>-40</v>
      </c>
      <c r="R335" t="n">
        <v>0.01764</v>
      </c>
      <c r="S335">
        <f>IMAGE("https://mitra.stanford.edu/kundaje/oak/projects/neuro-variants/variant_position/credible/roussos_2024/variant_figures/roussos_2024.childhood.Astrocyte/rs296563_count_position.png",4,220,900)</f>
        <v/>
      </c>
      <c r="T335">
        <f>IMAGE("https://mitra.stanford.edu/kundaje/oak/projects/neuro-variants/variant_position/credible/roussos_2024/variant_figures/roussos_2024.childhood.Astrocyte/rs296563_profile_position.png",4,220,900)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0.1789617499999999</v>
      </c>
      <c r="G336" t="n">
        <v>0.0227123718730895</v>
      </c>
      <c r="H336" t="n">
        <v>0.0232000864787688</v>
      </c>
      <c r="I336" t="n">
        <v>0.0785849773499864</v>
      </c>
      <c r="J336" t="n">
        <v>0.8463747872348545</v>
      </c>
      <c r="K336" t="n">
        <v>0.003878057922807</v>
      </c>
      <c r="L336" t="b">
        <v>0</v>
      </c>
      <c r="M336" t="b">
        <v>0</v>
      </c>
      <c r="N336" t="inlineStr">
        <is>
          <t>alt</t>
        </is>
      </c>
      <c r="O336" t="n">
        <v>100</v>
      </c>
      <c r="P336" t="n">
        <v>0.04572</v>
      </c>
      <c r="Q336" t="n">
        <v>80</v>
      </c>
      <c r="R336" t="n">
        <v>0.331</v>
      </c>
      <c r="S336">
        <f>IMAGE("https://mitra.stanford.edu/kundaje/oak/projects/neuro-variants/variant_position/credible/roussos_2024/variant_figures/roussos_2024.childhood.Astrocyte/rs2297909_count_position.png",4,220,900)</f>
        <v/>
      </c>
      <c r="T336">
        <f>IMAGE("https://mitra.stanford.edu/kundaje/oak/projects/neuro-variants/variant_position/credible/roussos_2024/variant_figures/roussos_2024.childhood.Astrocyte/rs2297909_profile_position.png",4,220,900)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0.0555322821</v>
      </c>
      <c r="G337" t="n">
        <v>0.1962908068113724</v>
      </c>
      <c r="H337" t="n">
        <v>0.0275241822786298</v>
      </c>
      <c r="I337" t="n">
        <v>0.0430726249217867</v>
      </c>
      <c r="J337" t="n">
        <v>0.1849770633448588</v>
      </c>
      <c r="K337" t="n">
        <v>0.2170839405598854</v>
      </c>
      <c r="L337" t="b">
        <v>0</v>
      </c>
      <c r="M337" t="b">
        <v>0</v>
      </c>
      <c r="N337" t="inlineStr">
        <is>
          <t>alt</t>
        </is>
      </c>
      <c r="O337" t="n">
        <v>-55</v>
      </c>
      <c r="P337" t="n">
        <v>0.03705</v>
      </c>
      <c r="Q337" t="n">
        <v>-55</v>
      </c>
      <c r="R337" t="n">
        <v>0.475</v>
      </c>
      <c r="S337">
        <f>IMAGE("https://mitra.stanford.edu/kundaje/oak/projects/neuro-variants/variant_position/credible/roussos_2024/variant_figures/roussos_2024.childhood.Astrocyte/rs59682551_count_position.png",4,220,900)</f>
        <v/>
      </c>
      <c r="T337">
        <f>IMAGE("https://mitra.stanford.edu/kundaje/oak/projects/neuro-variants/variant_position/credible/roussos_2024/variant_figures/roussos_2024.childhood.Astrocyte/rs59682551_profile_position.png",4,220,900)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-0.0132605878</v>
      </c>
      <c r="G338" t="n">
        <v>0.1846295558984796</v>
      </c>
      <c r="H338" t="n">
        <v>0.0128757134517613</v>
      </c>
      <c r="I338" t="n">
        <v>0.4407530876320541</v>
      </c>
      <c r="J338" t="n">
        <v>0.1524848679138711</v>
      </c>
      <c r="K338" t="n">
        <v>0.2578342203403077</v>
      </c>
      <c r="L338" t="b">
        <v>0</v>
      </c>
      <c r="M338" t="b">
        <v>0</v>
      </c>
      <c r="N338" t="inlineStr">
        <is>
          <t>ref</t>
        </is>
      </c>
      <c r="O338" t="n">
        <v>-100</v>
      </c>
      <c r="P338" t="n">
        <v>0.00767</v>
      </c>
      <c r="Q338" t="n">
        <v>-15</v>
      </c>
      <c r="R338" t="n">
        <v>0.04395</v>
      </c>
      <c r="S338">
        <f>IMAGE("https://mitra.stanford.edu/kundaje/oak/projects/neuro-variants/variant_position/credible/roussos_2024/variant_figures/roussos_2024.childhood.Astrocyte/rs12140420_count_position.png",4,220,900)</f>
        <v/>
      </c>
      <c r="T338">
        <f>IMAGE("https://mitra.stanford.edu/kundaje/oak/projects/neuro-variants/variant_position/credible/roussos_2024/variant_figures/roussos_2024.childhood.Astrocyte/rs12140420_profile_position.png",4,220,900)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0.174272738</v>
      </c>
      <c r="G339" t="n">
        <v>0.0258608932139444</v>
      </c>
      <c r="H339" t="n">
        <v>0.0270369010600808</v>
      </c>
      <c r="I339" t="n">
        <v>0.0466826818996863</v>
      </c>
      <c r="J339" t="n">
        <v>0.2158587315762557</v>
      </c>
      <c r="K339" t="n">
        <v>0.1958273836652387</v>
      </c>
      <c r="L339" t="b">
        <v>0</v>
      </c>
      <c r="M339" t="b">
        <v>0</v>
      </c>
      <c r="N339" t="inlineStr">
        <is>
          <t>alt</t>
        </is>
      </c>
      <c r="O339" t="n">
        <v>100</v>
      </c>
      <c r="P339" t="n">
        <v>0.0332</v>
      </c>
      <c r="Q339" t="n">
        <v>100</v>
      </c>
      <c r="R339" t="n">
        <v>0.3228</v>
      </c>
      <c r="S339">
        <f>IMAGE("https://mitra.stanford.edu/kundaje/oak/projects/neuro-variants/variant_position/credible/roussos_2024/variant_figures/roussos_2024.childhood.Astrocyte/rs10920084_count_position.png",4,220,900)</f>
        <v/>
      </c>
      <c r="T339">
        <f>IMAGE("https://mitra.stanford.edu/kundaje/oak/projects/neuro-variants/variant_position/credible/roussos_2024/variant_figures/roussos_2024.childhood.Astrocyte/rs10920084_profile_position.png",4,220,900)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-0.0006910450799999</v>
      </c>
      <c r="G340" t="n">
        <v>0.7533807288982552</v>
      </c>
      <c r="H340" t="n">
        <v>0.0077303885967362</v>
      </c>
      <c r="I340" t="n">
        <v>0.9285679964265942</v>
      </c>
      <c r="J340" t="n">
        <v>0.0426957630158838</v>
      </c>
      <c r="K340" t="n">
        <v>0.4767352238499989</v>
      </c>
      <c r="L340" t="b">
        <v>0</v>
      </c>
      <c r="M340" t="b">
        <v>0</v>
      </c>
      <c r="N340" t="inlineStr">
        <is>
          <t>ref</t>
        </is>
      </c>
      <c r="O340" t="n">
        <v>25</v>
      </c>
      <c r="P340" t="n">
        <v>0.001984</v>
      </c>
      <c r="Q340" t="n">
        <v>-30</v>
      </c>
      <c r="R340" t="n">
        <v>0.04474</v>
      </c>
      <c r="S340">
        <f>IMAGE("https://mitra.stanford.edu/kundaje/oak/projects/neuro-variants/variant_position/credible/roussos_2024/variant_figures/roussos_2024.childhood.Astrocyte/rs55757739_count_position.png",4,220,900)</f>
        <v/>
      </c>
      <c r="T340">
        <f>IMAGE("https://mitra.stanford.edu/kundaje/oak/projects/neuro-variants/variant_position/credible/roussos_2024/variant_figures/roussos_2024.childhood.Astrocyte/rs55757739_profile_position.png",4,220,900)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-0.144359832</v>
      </c>
      <c r="G341" t="n">
        <v>0.0357863518779384</v>
      </c>
      <c r="H341" t="n">
        <v>0.024188600853495</v>
      </c>
      <c r="I341" t="n">
        <v>0.0663056344787525</v>
      </c>
      <c r="J341" t="n">
        <v>0.300864036393335</v>
      </c>
      <c r="K341" t="n">
        <v>0.1333423883668447</v>
      </c>
      <c r="L341" t="b">
        <v>0</v>
      </c>
      <c r="M341" t="b">
        <v>0</v>
      </c>
      <c r="N341" t="inlineStr">
        <is>
          <t>ref</t>
        </is>
      </c>
      <c r="O341" t="n">
        <v>100</v>
      </c>
      <c r="P341" t="n">
        <v>0.04105</v>
      </c>
      <c r="Q341" t="n">
        <v>100</v>
      </c>
      <c r="R341" t="n">
        <v>0.0832</v>
      </c>
      <c r="S341">
        <f>IMAGE("https://mitra.stanford.edu/kundaje/oak/projects/neuro-variants/variant_position/credible/roussos_2024/variant_figures/roussos_2024.childhood.Astrocyte/rs12122721_count_position.png",4,220,900)</f>
        <v/>
      </c>
      <c r="T341">
        <f>IMAGE("https://mitra.stanford.edu/kundaje/oak/projects/neuro-variants/variant_position/credible/roussos_2024/variant_figures/roussos_2024.childhood.Astrocyte/rs12122721_profile_position.png",4,220,900)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0.26267256</v>
      </c>
      <c r="G342" t="n">
        <v>0.0082861233886381</v>
      </c>
      <c r="H342" t="n">
        <v>0.029089920649375</v>
      </c>
      <c r="I342" t="n">
        <v>0.0341358573875632</v>
      </c>
      <c r="J342" t="n">
        <v>0.6599337470327372</v>
      </c>
      <c r="K342" t="n">
        <v>0.0234142656903116</v>
      </c>
      <c r="L342" t="b">
        <v>1</v>
      </c>
      <c r="M342" t="b">
        <v>1</v>
      </c>
      <c r="N342" t="inlineStr">
        <is>
          <t>alt</t>
        </is>
      </c>
      <c r="O342" t="n">
        <v>0</v>
      </c>
      <c r="P342" t="n">
        <v>0</v>
      </c>
      <c r="Q342" t="n">
        <v>-10</v>
      </c>
      <c r="R342" t="n">
        <v>0.006836</v>
      </c>
      <c r="S342">
        <f>IMAGE("https://mitra.stanford.edu/kundaje/oak/projects/neuro-variants/variant_position/credible/roussos_2024/variant_figures/roussos_2024.childhood.Astrocyte/rs6701496_count_position.png",4,220,900)</f>
        <v/>
      </c>
      <c r="T342">
        <f>IMAGE("https://mitra.stanford.edu/kundaje/oak/projects/neuro-variants/variant_position/credible/roussos_2024/variant_figures/roussos_2024.childhood.Astrocyte/rs6701496_profile_position.png",4,220,900)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0.1070788936</v>
      </c>
      <c r="G343" t="n">
        <v>0.0640501986198927</v>
      </c>
      <c r="H343" t="n">
        <v>0.0206172202886247</v>
      </c>
      <c r="I343" t="n">
        <v>0.1141409194993408</v>
      </c>
      <c r="J343" t="n">
        <v>0.7051567401708227</v>
      </c>
      <c r="K343" t="n">
        <v>0.0179842638676645</v>
      </c>
      <c r="L343" t="b">
        <v>0</v>
      </c>
      <c r="M343" t="b">
        <v>0</v>
      </c>
      <c r="N343" t="inlineStr">
        <is>
          <t>alt</t>
        </is>
      </c>
      <c r="O343" t="n">
        <v>100</v>
      </c>
      <c r="P343" t="n">
        <v>0.001343</v>
      </c>
      <c r="Q343" t="n">
        <v>40</v>
      </c>
      <c r="R343" t="n">
        <v>0.0924</v>
      </c>
      <c r="S343">
        <f>IMAGE("https://mitra.stanford.edu/kundaje/oak/projects/neuro-variants/variant_position/credible/roussos_2024/variant_figures/roussos_2024.childhood.Astrocyte/rs4844565_count_position.png",4,220,900)</f>
        <v/>
      </c>
      <c r="T343">
        <f>IMAGE("https://mitra.stanford.edu/kundaje/oak/projects/neuro-variants/variant_position/credible/roussos_2024/variant_figures/roussos_2024.childhood.Astrocyte/rs4844565_profile_position.png",4,220,900)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0.0731842764</v>
      </c>
      <c r="G344" t="n">
        <v>0.12319667484516</v>
      </c>
      <c r="H344" t="n">
        <v>0.019857138515113</v>
      </c>
      <c r="I344" t="n">
        <v>0.1433419818090631</v>
      </c>
      <c r="J344" t="n">
        <v>0.0439605230015341</v>
      </c>
      <c r="K344" t="n">
        <v>0.4808467929128774</v>
      </c>
      <c r="L344" t="b">
        <v>0</v>
      </c>
      <c r="M344" t="b">
        <v>0</v>
      </c>
      <c r="N344" t="inlineStr">
        <is>
          <t>alt</t>
        </is>
      </c>
      <c r="O344" t="n">
        <v>100</v>
      </c>
      <c r="P344" t="n">
        <v>0.005676</v>
      </c>
      <c r="Q344" t="n">
        <v>-55</v>
      </c>
      <c r="R344" t="n">
        <v>0.06304999999999999</v>
      </c>
      <c r="S344">
        <f>IMAGE("https://mitra.stanford.edu/kundaje/oak/projects/neuro-variants/variant_position/credible/roussos_2024/variant_figures/roussos_2024.childhood.Astrocyte/rs2075864_count_position.png",4,220,900)</f>
        <v/>
      </c>
      <c r="T344">
        <f>IMAGE("https://mitra.stanford.edu/kundaje/oak/projects/neuro-variants/variant_position/credible/roussos_2024/variant_figures/roussos_2024.childhood.Astrocyte/rs2075864_profile_position.png",4,220,900)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0.0268865367</v>
      </c>
      <c r="G345" t="n">
        <v>0.291848292959544</v>
      </c>
      <c r="H345" t="n">
        <v>0.0190538302729929</v>
      </c>
      <c r="I345" t="n">
        <v>0.1557510036514188</v>
      </c>
      <c r="J345" t="n">
        <v>0.0399494706632166</v>
      </c>
      <c r="K345" t="n">
        <v>0.5012676558944293</v>
      </c>
      <c r="L345" t="b">
        <v>0</v>
      </c>
      <c r="M345" t="b">
        <v>0</v>
      </c>
      <c r="N345" t="inlineStr">
        <is>
          <t>alt</t>
        </is>
      </c>
      <c r="O345" t="n">
        <v>100</v>
      </c>
      <c r="P345" t="n">
        <v>0.00737</v>
      </c>
      <c r="Q345" t="n">
        <v>-60</v>
      </c>
      <c r="R345" t="n">
        <v>0.05408</v>
      </c>
      <c r="S345">
        <f>IMAGE("https://mitra.stanford.edu/kundaje/oak/projects/neuro-variants/variant_position/credible/roussos_2024/variant_figures/roussos_2024.childhood.Astrocyte/rs2075865_count_position.png",4,220,900)</f>
        <v/>
      </c>
      <c r="T345">
        <f>IMAGE("https://mitra.stanford.edu/kundaje/oak/projects/neuro-variants/variant_position/credible/roussos_2024/variant_figures/roussos_2024.childhood.Astrocyte/rs2075865_profile_position.png",4,220,900)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-0.1044140562</v>
      </c>
      <c r="G346" t="n">
        <v>0.086153575770642</v>
      </c>
      <c r="H346" t="n">
        <v>0.0156450452125969</v>
      </c>
      <c r="I346" t="n">
        <v>0.2671956475203286</v>
      </c>
      <c r="J346" t="n">
        <v>0.0224229656598963</v>
      </c>
      <c r="K346" t="n">
        <v>0.5774534139096213</v>
      </c>
      <c r="L346" t="b">
        <v>0</v>
      </c>
      <c r="M346" t="b">
        <v>0</v>
      </c>
      <c r="N346" t="inlineStr">
        <is>
          <t>ref</t>
        </is>
      </c>
      <c r="O346" t="n">
        <v>-80</v>
      </c>
      <c r="P346" t="n">
        <v>0.003078</v>
      </c>
      <c r="Q346" t="n">
        <v>85</v>
      </c>
      <c r="R346" t="n">
        <v>0.1824</v>
      </c>
      <c r="S346">
        <f>IMAGE("https://mitra.stanford.edu/kundaje/oak/projects/neuro-variants/variant_position/credible/roussos_2024/variant_figures/roussos_2024.childhood.Astrocyte/rs895239_count_position.png",4,220,900)</f>
        <v/>
      </c>
      <c r="T346">
        <f>IMAGE("https://mitra.stanford.edu/kundaje/oak/projects/neuro-variants/variant_position/credible/roussos_2024/variant_figures/roussos_2024.childhood.Astrocyte/rs895239_profile_position.png",4,220,900)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-0.00735257256</v>
      </c>
      <c r="G347" t="n">
        <v>0.2770799339943535</v>
      </c>
      <c r="H347" t="n">
        <v>0.0169413833866073</v>
      </c>
      <c r="I347" t="n">
        <v>0.2133179599709975</v>
      </c>
      <c r="J347" t="n">
        <v>0.023586972285193</v>
      </c>
      <c r="K347" t="n">
        <v>0.572247221113897</v>
      </c>
      <c r="L347" t="b">
        <v>0</v>
      </c>
      <c r="M347" t="b">
        <v>0</v>
      </c>
      <c r="N347" t="inlineStr">
        <is>
          <t>ref</t>
        </is>
      </c>
      <c r="O347" t="n">
        <v>80</v>
      </c>
      <c r="P347" t="n">
        <v>0.001499</v>
      </c>
      <c r="Q347" t="n">
        <v>-100</v>
      </c>
      <c r="R347" t="n">
        <v>0.0953</v>
      </c>
      <c r="S347">
        <f>IMAGE("https://mitra.stanford.edu/kundaje/oak/projects/neuro-variants/variant_position/credible/roussos_2024/variant_figures/roussos_2024.childhood.Astrocyte/rs895240_count_position.png",4,220,900)</f>
        <v/>
      </c>
      <c r="T347">
        <f>IMAGE("https://mitra.stanford.edu/kundaje/oak/projects/neuro-variants/variant_position/credible/roussos_2024/variant_figures/roussos_2024.childhood.Astrocyte/rs895240_profile_position.png",4,220,900)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0.0954481386</v>
      </c>
      <c r="G348" t="n">
        <v>0.07572304965690919</v>
      </c>
      <c r="H348" t="n">
        <v>0.0236991368793213</v>
      </c>
      <c r="I348" t="n">
        <v>0.0751771638149598</v>
      </c>
      <c r="J348" t="n">
        <v>0.1514529092532801</v>
      </c>
      <c r="K348" t="n">
        <v>0.2531862734782769</v>
      </c>
      <c r="L348" t="b">
        <v>0</v>
      </c>
      <c r="M348" t="b">
        <v>0</v>
      </c>
      <c r="N348" t="inlineStr">
        <is>
          <t>alt</t>
        </is>
      </c>
      <c r="O348" t="n">
        <v>0</v>
      </c>
      <c r="P348" t="n">
        <v>0</v>
      </c>
      <c r="Q348" t="n">
        <v>90</v>
      </c>
      <c r="R348" t="n">
        <v>0.07969999999999999</v>
      </c>
      <c r="S348">
        <f>IMAGE("https://mitra.stanford.edu/kundaje/oak/projects/neuro-variants/variant_position/credible/roussos_2024/variant_figures/roussos_2024.childhood.Astrocyte/rs600396_count_position.png",4,220,900)</f>
        <v/>
      </c>
      <c r="T348">
        <f>IMAGE("https://mitra.stanford.edu/kundaje/oak/projects/neuro-variants/variant_position/credible/roussos_2024/variant_figures/roussos_2024.childhood.Astrocyte/rs600396_profile_position.png",4,220,900)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0.0329121522</v>
      </c>
      <c r="G349" t="n">
        <v>0.3507305317705654</v>
      </c>
      <c r="H349" t="n">
        <v>0.0112419754702965</v>
      </c>
      <c r="I349" t="n">
        <v>0.5895633968284772</v>
      </c>
      <c r="J349" t="n">
        <v>0.0827711753795424</v>
      </c>
      <c r="K349" t="n">
        <v>0.3598279454766491</v>
      </c>
      <c r="L349" t="b">
        <v>0</v>
      </c>
      <c r="M349" t="b">
        <v>0</v>
      </c>
      <c r="N349" t="inlineStr">
        <is>
          <t>alt</t>
        </is>
      </c>
      <c r="O349" t="n">
        <v>-70</v>
      </c>
      <c r="P349" t="n">
        <v>0.00515</v>
      </c>
      <c r="Q349" t="n">
        <v>30</v>
      </c>
      <c r="R349" t="n">
        <v>0.11346</v>
      </c>
      <c r="S349">
        <f>IMAGE("https://mitra.stanford.edu/kundaje/oak/projects/neuro-variants/variant_position/credible/roussos_2024/variant_figures/roussos_2024.childhood.Astrocyte/rs7529009_count_position.png",4,220,900)</f>
        <v/>
      </c>
      <c r="T349">
        <f>IMAGE("https://mitra.stanford.edu/kundaje/oak/projects/neuro-variants/variant_position/credible/roussos_2024/variant_figures/roussos_2024.childhood.Astrocyte/rs7529009_profile_position.png",4,220,900)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0.0163000866</v>
      </c>
      <c r="G350" t="n">
        <v>0.5232336828611546</v>
      </c>
      <c r="H350" t="n">
        <v>0.0279771599635125</v>
      </c>
      <c r="I350" t="n">
        <v>0.0399038866338015</v>
      </c>
      <c r="J350" t="n">
        <v>0.0491851953622922</v>
      </c>
      <c r="K350" t="n">
        <v>0.4515838893857437</v>
      </c>
      <c r="L350" t="b">
        <v>0</v>
      </c>
      <c r="M350" t="b">
        <v>0</v>
      </c>
      <c r="N350" t="inlineStr">
        <is>
          <t>alt</t>
        </is>
      </c>
      <c r="O350" t="n">
        <v>55</v>
      </c>
      <c r="P350" t="n">
        <v>0.00382</v>
      </c>
      <c r="Q350" t="n">
        <v>30</v>
      </c>
      <c r="R350" t="n">
        <v>0.02863</v>
      </c>
      <c r="S350">
        <f>IMAGE("https://mitra.stanford.edu/kundaje/oak/projects/neuro-variants/variant_position/credible/roussos_2024/variant_figures/roussos_2024.childhood.Astrocyte/rs7530960_count_position.png",4,220,900)</f>
        <v/>
      </c>
      <c r="T350">
        <f>IMAGE("https://mitra.stanford.edu/kundaje/oak/projects/neuro-variants/variant_position/credible/roussos_2024/variant_figures/roussos_2024.childhood.Astrocyte/rs7530960_profile_position.png",4,220,900)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-0.038631196</v>
      </c>
      <c r="G351" t="n">
        <v>0.3074319947552791</v>
      </c>
      <c r="H351" t="n">
        <v>0.0157233343051903</v>
      </c>
      <c r="I351" t="n">
        <v>0.2663482900603969</v>
      </c>
      <c r="J351" t="n">
        <v>0.2547625044842878</v>
      </c>
      <c r="K351" t="n">
        <v>0.1631189742145392</v>
      </c>
      <c r="L351" t="b">
        <v>0</v>
      </c>
      <c r="M351" t="b">
        <v>0</v>
      </c>
      <c r="N351" t="inlineStr">
        <is>
          <t>ref</t>
        </is>
      </c>
      <c r="O351" t="n">
        <v>95</v>
      </c>
      <c r="P351" t="n">
        <v>0.145</v>
      </c>
      <c r="Q351" t="n">
        <v>95</v>
      </c>
      <c r="R351" t="n">
        <v>0.141</v>
      </c>
      <c r="S351">
        <f>IMAGE("https://mitra.stanford.edu/kundaje/oak/projects/neuro-variants/variant_position/credible/roussos_2024/variant_figures/roussos_2024.childhood.Astrocyte/rs3811489_count_position.png",4,220,900)</f>
        <v/>
      </c>
      <c r="T351">
        <f>IMAGE("https://mitra.stanford.edu/kundaje/oak/projects/neuro-variants/variant_position/credible/roussos_2024/variant_figures/roussos_2024.childhood.Astrocyte/rs3811489_profile_position.png",4,220,900)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-0.0367827122</v>
      </c>
      <c r="G352" t="n">
        <v>0.3172202363168333</v>
      </c>
      <c r="H352" t="n">
        <v>0.0114165258834758</v>
      </c>
      <c r="I352" t="n">
        <v>0.570609554037289</v>
      </c>
      <c r="J352" t="n">
        <v>0.0183905413966552</v>
      </c>
      <c r="K352" t="n">
        <v>0.6045686307114726</v>
      </c>
      <c r="L352" t="b">
        <v>0</v>
      </c>
      <c r="M352" t="b">
        <v>0</v>
      </c>
      <c r="N352" t="inlineStr">
        <is>
          <t>ref</t>
        </is>
      </c>
      <c r="O352" t="n">
        <v>30</v>
      </c>
      <c r="P352" t="n">
        <v>0.003254</v>
      </c>
      <c r="Q352" t="n">
        <v>-15</v>
      </c>
      <c r="R352" t="n">
        <v>0.006775</v>
      </c>
      <c r="S352">
        <f>IMAGE("https://mitra.stanford.edu/kundaje/oak/projects/neuro-variants/variant_position/credible/roussos_2024/variant_figures/roussos_2024.childhood.Astrocyte/rs4412597_count_position.png",4,220,900)</f>
        <v/>
      </c>
      <c r="T352">
        <f>IMAGE("https://mitra.stanford.edu/kundaje/oak/projects/neuro-variants/variant_position/credible/roussos_2024/variant_figures/roussos_2024.childhood.Astrocyte/rs4412597_profile_position.png",4,220,900)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0.0271735956</v>
      </c>
      <c r="G353" t="n">
        <v>0.4010818755006082</v>
      </c>
      <c r="H353" t="n">
        <v>0.0175330351897958</v>
      </c>
      <c r="I353" t="n">
        <v>0.1917801434270093</v>
      </c>
      <c r="J353" t="n">
        <v>0.0145985512888033</v>
      </c>
      <c r="K353" t="n">
        <v>0.6400419271507229</v>
      </c>
      <c r="L353" t="b">
        <v>0</v>
      </c>
      <c r="M353" t="b">
        <v>0</v>
      </c>
      <c r="N353" t="inlineStr">
        <is>
          <t>alt</t>
        </is>
      </c>
      <c r="O353" t="n">
        <v>-15</v>
      </c>
      <c r="P353" t="n">
        <v>0.003548</v>
      </c>
      <c r="Q353" t="n">
        <v>-95</v>
      </c>
      <c r="R353" t="n">
        <v>0.06836</v>
      </c>
      <c r="S353">
        <f>IMAGE("https://mitra.stanford.edu/kundaje/oak/projects/neuro-variants/variant_position/credible/roussos_2024/variant_figures/roussos_2024.childhood.Astrocyte/rs2078219_count_position.png",4,220,900)</f>
        <v/>
      </c>
      <c r="T353">
        <f>IMAGE("https://mitra.stanford.edu/kundaje/oak/projects/neuro-variants/variant_position/credible/roussos_2024/variant_figures/roussos_2024.childhood.Astrocyte/rs2078219_profile_position.png",4,220,900)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0.0357087326</v>
      </c>
      <c r="G354" t="n">
        <v>0.3134681628545199</v>
      </c>
      <c r="H354" t="n">
        <v>0.0162644729245422</v>
      </c>
      <c r="I354" t="n">
        <v>0.2389293340651326</v>
      </c>
      <c r="J354" t="n">
        <v>0.1341088288948424</v>
      </c>
      <c r="K354" t="n">
        <v>0.2747561887776007</v>
      </c>
      <c r="L354" t="b">
        <v>0</v>
      </c>
      <c r="M354" t="b">
        <v>0</v>
      </c>
      <c r="N354" t="inlineStr">
        <is>
          <t>alt</t>
        </is>
      </c>
      <c r="O354" t="n">
        <v>-25</v>
      </c>
      <c r="P354" t="n">
        <v>0.005955</v>
      </c>
      <c r="Q354" t="n">
        <v>-80</v>
      </c>
      <c r="R354" t="n">
        <v>0.00812</v>
      </c>
      <c r="S354">
        <f>IMAGE("https://mitra.stanford.edu/kundaje/oak/projects/neuro-variants/variant_position/credible/roussos_2024/variant_figures/roussos_2024.childhood.Astrocyte/rs880329_count_position.png",4,220,900)</f>
        <v/>
      </c>
      <c r="T354">
        <f>IMAGE("https://mitra.stanford.edu/kundaje/oak/projects/neuro-variants/variant_position/credible/roussos_2024/variant_figures/roussos_2024.childhood.Astrocyte/rs880329_profile_position.png",4,220,900)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0.142931423</v>
      </c>
      <c r="G355" t="n">
        <v>0.044699516126234</v>
      </c>
      <c r="H355" t="n">
        <v>0.0280669558262011</v>
      </c>
      <c r="I355" t="n">
        <v>0.0423168959625417</v>
      </c>
      <c r="J355" t="n">
        <v>0.0137535969712928</v>
      </c>
      <c r="K355" t="n">
        <v>0.6740124959442902</v>
      </c>
      <c r="L355" t="b">
        <v>0</v>
      </c>
      <c r="M355" t="b">
        <v>0</v>
      </c>
      <c r="N355" t="inlineStr">
        <is>
          <t>alt</t>
        </is>
      </c>
      <c r="O355" t="n">
        <v>25</v>
      </c>
      <c r="P355" t="n">
        <v>0.00283</v>
      </c>
      <c r="Q355" t="n">
        <v>15</v>
      </c>
      <c r="R355" t="n">
        <v>0.04675</v>
      </c>
      <c r="S355">
        <f>IMAGE("https://mitra.stanford.edu/kundaje/oak/projects/neuro-variants/variant_position/credible/roussos_2024/variant_figures/roussos_2024.childhood.Astrocyte/rs12083455_count_position.png",4,220,900)</f>
        <v/>
      </c>
      <c r="T355">
        <f>IMAGE("https://mitra.stanford.edu/kundaje/oak/projects/neuro-variants/variant_position/credible/roussos_2024/variant_figures/roussos_2024.childhood.Astrocyte/rs12083455_profile_position.png",4,220,900)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0.04863261926</v>
      </c>
      <c r="G356" t="n">
        <v>0.1724092195113343</v>
      </c>
      <c r="H356" t="n">
        <v>0.0148763391755208</v>
      </c>
      <c r="I356" t="n">
        <v>0.3039110250002406</v>
      </c>
      <c r="J356" t="n">
        <v>0.0148038744246753</v>
      </c>
      <c r="K356" t="n">
        <v>0.6682700031329774</v>
      </c>
      <c r="L356" t="b">
        <v>0</v>
      </c>
      <c r="M356" t="b">
        <v>0</v>
      </c>
      <c r="N356" t="inlineStr">
        <is>
          <t>alt</t>
        </is>
      </c>
      <c r="O356" t="n">
        <v>-10</v>
      </c>
      <c r="P356" t="n">
        <v>0.00119</v>
      </c>
      <c r="Q356" t="n">
        <v>-5</v>
      </c>
      <c r="R356" t="n">
        <v>0.02563</v>
      </c>
      <c r="S356">
        <f>IMAGE("https://mitra.stanford.edu/kundaje/oak/projects/neuro-variants/variant_position/credible/roussos_2024/variant_figures/roussos_2024.childhood.Astrocyte/rs7512794_count_position.png",4,220,900)</f>
        <v/>
      </c>
      <c r="T356">
        <f>IMAGE("https://mitra.stanford.edu/kundaje/oak/projects/neuro-variants/variant_position/credible/roussos_2024/variant_figures/roussos_2024.childhood.Astrocyte/rs7512794_profile_position.png",4,220,900)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0.2171528119999999</v>
      </c>
      <c r="G357" t="n">
        <v>0.0130735729046959</v>
      </c>
      <c r="H357" t="n">
        <v>0.0281452200840524</v>
      </c>
      <c r="I357" t="n">
        <v>0.0388600227152186</v>
      </c>
      <c r="J357" t="n">
        <v>0.0244700907543525</v>
      </c>
      <c r="K357" t="n">
        <v>0.591746029558483</v>
      </c>
      <c r="L357" t="b">
        <v>1</v>
      </c>
      <c r="M357" t="b">
        <v>0</v>
      </c>
      <c r="N357" t="inlineStr">
        <is>
          <t>alt</t>
        </is>
      </c>
      <c r="O357" t="n">
        <v>-60</v>
      </c>
      <c r="P357" t="n">
        <v>0.0227</v>
      </c>
      <c r="Q357" t="n">
        <v>-60</v>
      </c>
      <c r="R357" t="n">
        <v>0.2397</v>
      </c>
      <c r="S357">
        <f>IMAGE("https://mitra.stanford.edu/kundaje/oak/projects/neuro-variants/variant_position/credible/roussos_2024/variant_figures/roussos_2024.childhood.Astrocyte/rs7520068_count_position.png",4,220,900)</f>
        <v/>
      </c>
      <c r="T357">
        <f>IMAGE("https://mitra.stanford.edu/kundaje/oak/projects/neuro-variants/variant_position/credible/roussos_2024/variant_figures/roussos_2024.childhood.Astrocyte/rs7520068_profile_position.png",4,220,900)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0.0504552062</v>
      </c>
      <c r="G358" t="n">
        <v>0.2111785037588098</v>
      </c>
      <c r="H358" t="n">
        <v>0.019966837117827</v>
      </c>
      <c r="I358" t="n">
        <v>0.1254582738040985</v>
      </c>
      <c r="J358" t="n">
        <v>0.0036439131994534</v>
      </c>
      <c r="K358" t="n">
        <v>0.8081799253851127</v>
      </c>
      <c r="L358" t="b">
        <v>0</v>
      </c>
      <c r="M358" t="b">
        <v>0</v>
      </c>
      <c r="N358" t="inlineStr">
        <is>
          <t>alt</t>
        </is>
      </c>
      <c r="O358" t="n">
        <v>85</v>
      </c>
      <c r="P358" t="n">
        <v>0.004303</v>
      </c>
      <c r="Q358" t="n">
        <v>-65</v>
      </c>
      <c r="R358" t="n">
        <v>0.08795</v>
      </c>
      <c r="S358">
        <f>IMAGE("https://mitra.stanford.edu/kundaje/oak/projects/neuro-variants/variant_position/credible/roussos_2024/variant_figures/roussos_2024.childhood.Astrocyte/rs7531956_count_position.png",4,220,900)</f>
        <v/>
      </c>
      <c r="T358">
        <f>IMAGE("https://mitra.stanford.edu/kundaje/oak/projects/neuro-variants/variant_position/credible/roussos_2024/variant_figures/roussos_2024.childhood.Astrocyte/rs7531956_profile_position.png",4,220,900)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-0.021041792</v>
      </c>
      <c r="G359" t="n">
        <v>0.5132735269087223</v>
      </c>
      <c r="H359" t="n">
        <v>0.0375896940930966</v>
      </c>
      <c r="I359" t="n">
        <v>0.0122485415672354</v>
      </c>
      <c r="J359" t="n">
        <v>0.0001694488333218</v>
      </c>
      <c r="K359" t="n">
        <v>0.9756703769271244</v>
      </c>
      <c r="L359" t="b">
        <v>0</v>
      </c>
      <c r="M359" t="b">
        <v>0</v>
      </c>
      <c r="N359" t="inlineStr">
        <is>
          <t>ref</t>
        </is>
      </c>
      <c r="O359" t="n">
        <v>-50</v>
      </c>
      <c r="P359" t="n">
        <v>0.01767</v>
      </c>
      <c r="Q359" t="n">
        <v>95</v>
      </c>
      <c r="R359" t="n">
        <v>0.0512</v>
      </c>
      <c r="S359">
        <f>IMAGE("https://mitra.stanford.edu/kundaje/oak/projects/neuro-variants/variant_position/credible/roussos_2024/variant_figures/roussos_2024.childhood.Astrocyte/rs9428451_count_position.png",4,220,900)</f>
        <v/>
      </c>
      <c r="T359">
        <f>IMAGE("https://mitra.stanford.edu/kundaje/oak/projects/neuro-variants/variant_position/credible/roussos_2024/variant_figures/roussos_2024.childhood.Astrocyte/rs9428451_profile_position.png",4,220,900)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0.0611586366</v>
      </c>
      <c r="G360" t="n">
        <v>0.1561079602310499</v>
      </c>
      <c r="H360" t="n">
        <v>0.0107918362081523</v>
      </c>
      <c r="I360" t="n">
        <v>0.6382567071322616</v>
      </c>
      <c r="J360" t="n">
        <v>0.0140482242220237</v>
      </c>
      <c r="K360" t="n">
        <v>0.6408737452047956</v>
      </c>
      <c r="L360" t="b">
        <v>0</v>
      </c>
      <c r="M360" t="b">
        <v>0</v>
      </c>
      <c r="N360" t="inlineStr">
        <is>
          <t>alt</t>
        </is>
      </c>
      <c r="O360" t="n">
        <v>-100</v>
      </c>
      <c r="P360" t="n">
        <v>0.02887</v>
      </c>
      <c r="Q360" t="n">
        <v>95</v>
      </c>
      <c r="R360" t="n">
        <v>0.04843</v>
      </c>
      <c r="S360">
        <f>IMAGE("https://mitra.stanford.edu/kundaje/oak/projects/neuro-variants/variant_position/credible/roussos_2024/variant_figures/roussos_2024.childhood.Astrocyte/rs12741781_count_position.png",4,220,900)</f>
        <v/>
      </c>
      <c r="T360">
        <f>IMAGE("https://mitra.stanford.edu/kundaje/oak/projects/neuro-variants/variant_position/credible/roussos_2024/variant_figures/roussos_2024.childhood.Astrocyte/rs12741781_profile_position.png",4,220,900)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0.116341406</v>
      </c>
      <c r="G361" t="n">
        <v>0.052160448223462</v>
      </c>
      <c r="H361" t="n">
        <v>0.0150964466371062</v>
      </c>
      <c r="I361" t="n">
        <v>0.2906640065141555</v>
      </c>
      <c r="J361" t="n">
        <v>0.16945035988795</v>
      </c>
      <c r="K361" t="n">
        <v>0.2290854029960128</v>
      </c>
      <c r="L361" t="b">
        <v>0</v>
      </c>
      <c r="M361" t="b">
        <v>0</v>
      </c>
      <c r="N361" t="inlineStr">
        <is>
          <t>alt</t>
        </is>
      </c>
      <c r="O361" t="n">
        <v>-35</v>
      </c>
      <c r="P361" t="n">
        <v>0.007416</v>
      </c>
      <c r="Q361" t="n">
        <v>-30</v>
      </c>
      <c r="R361" t="n">
        <v>0.06444999999999999</v>
      </c>
      <c r="S361">
        <f>IMAGE("https://mitra.stanford.edu/kundaje/oak/projects/neuro-variants/variant_position/credible/roussos_2024/variant_figures/roussos_2024.childhood.Astrocyte/rs2275154_count_position.png",4,220,900)</f>
        <v/>
      </c>
      <c r="T361">
        <f>IMAGE("https://mitra.stanford.edu/kundaje/oak/projects/neuro-variants/variant_position/credible/roussos_2024/variant_figures/roussos_2024.childhood.Astrocyte/rs2275154_profile_position.png",4,220,900)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0.02927272352</v>
      </c>
      <c r="G362" t="n">
        <v>0.3577562779000542</v>
      </c>
      <c r="H362" t="n">
        <v>0.010775896296767</v>
      </c>
      <c r="I362" t="n">
        <v>0.6187213815340933</v>
      </c>
      <c r="J362" t="n">
        <v>0.1709280758398021</v>
      </c>
      <c r="K362" t="n">
        <v>0.2340163137767502</v>
      </c>
      <c r="L362" t="b">
        <v>0</v>
      </c>
      <c r="M362" t="b">
        <v>0</v>
      </c>
      <c r="N362" t="inlineStr">
        <is>
          <t>alt</t>
        </is>
      </c>
      <c r="O362" t="n">
        <v>-35</v>
      </c>
      <c r="P362" t="n">
        <v>0.00408</v>
      </c>
      <c r="Q362" t="n">
        <v>-70</v>
      </c>
      <c r="R362" t="n">
        <v>0.02686</v>
      </c>
      <c r="S362">
        <f>IMAGE("https://mitra.stanford.edu/kundaje/oak/projects/neuro-variants/variant_position/credible/roussos_2024/variant_figures/roussos_2024.childhood.Astrocyte/rs884328_count_position.png",4,220,900)</f>
        <v/>
      </c>
      <c r="T362">
        <f>IMAGE("https://mitra.stanford.edu/kundaje/oak/projects/neuro-variants/variant_position/credible/roussos_2024/variant_figures/roussos_2024.childhood.Astrocyte/rs884328_profile_position.png",4,220,900)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0.0162764092</v>
      </c>
      <c r="G363" t="n">
        <v>0.5332457656507887</v>
      </c>
      <c r="H363" t="n">
        <v>0.0106179631975326</v>
      </c>
      <c r="I363" t="n">
        <v>0.6424374433720365</v>
      </c>
      <c r="J363" t="n">
        <v>0.0407387053193194</v>
      </c>
      <c r="K363" t="n">
        <v>0.47702306557514</v>
      </c>
      <c r="L363" t="b">
        <v>0</v>
      </c>
      <c r="M363" t="b">
        <v>0</v>
      </c>
      <c r="N363" t="inlineStr">
        <is>
          <t>alt</t>
        </is>
      </c>
      <c r="O363" t="n">
        <v>20</v>
      </c>
      <c r="P363" t="n">
        <v>0.003883</v>
      </c>
      <c r="Q363" t="n">
        <v>50</v>
      </c>
      <c r="R363" t="n">
        <v>0.06155</v>
      </c>
      <c r="S363">
        <f>IMAGE("https://mitra.stanford.edu/kundaje/oak/projects/neuro-variants/variant_position/credible/roussos_2024/variant_figures/roussos_2024.childhood.Astrocyte/rs1352162_count_position.png",4,220,900)</f>
        <v/>
      </c>
      <c r="T363">
        <f>IMAGE("https://mitra.stanford.edu/kundaje/oak/projects/neuro-variants/variant_position/credible/roussos_2024/variant_figures/roussos_2024.childhood.Astrocyte/rs1352162_profile_position.png",4,220,900)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0.0622756082</v>
      </c>
      <c r="G364" t="n">
        <v>0.1559746861999389</v>
      </c>
      <c r="H364" t="n">
        <v>0.0164603542518388</v>
      </c>
      <c r="I364" t="n">
        <v>0.226824181427836</v>
      </c>
      <c r="J364" t="n">
        <v>0.0001373909459366</v>
      </c>
      <c r="K364" t="n">
        <v>0.978329243318527</v>
      </c>
      <c r="L364" t="b">
        <v>0</v>
      </c>
      <c r="M364" t="b">
        <v>0</v>
      </c>
      <c r="N364" t="inlineStr">
        <is>
          <t>alt</t>
        </is>
      </c>
      <c r="O364" t="n">
        <v>-35</v>
      </c>
      <c r="P364" t="n">
        <v>0.00296</v>
      </c>
      <c r="Q364" t="n">
        <v>95</v>
      </c>
      <c r="R364" t="n">
        <v>0.1146</v>
      </c>
      <c r="S364">
        <f>IMAGE("https://mitra.stanford.edu/kundaje/oak/projects/neuro-variants/variant_position/credible/roussos_2024/variant_figures/roussos_2024.childhood.Astrocyte/rs145071536_count_position.png",4,220,900)</f>
        <v/>
      </c>
      <c r="T364">
        <f>IMAGE("https://mitra.stanford.edu/kundaje/oak/projects/neuro-variants/variant_position/credible/roussos_2024/variant_figures/roussos_2024.childhood.Astrocyte/rs145071536_profile_position.png",4,220,900)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0.00922564092</v>
      </c>
      <c r="G365" t="n">
        <v>0.5556112445946931</v>
      </c>
      <c r="H365" t="n">
        <v>0.0278167711226073</v>
      </c>
      <c r="I365" t="n">
        <v>0.0396927214435693</v>
      </c>
      <c r="J365" t="n">
        <v>0.0248685244975689</v>
      </c>
      <c r="K365" t="n">
        <v>0.5618710254843567</v>
      </c>
      <c r="L365" t="b">
        <v>0</v>
      </c>
      <c r="M365" t="b">
        <v>0</v>
      </c>
      <c r="N365" t="inlineStr">
        <is>
          <t>alt</t>
        </is>
      </c>
      <c r="O365" t="n">
        <v>-85</v>
      </c>
      <c r="P365" t="n">
        <v>0.006516</v>
      </c>
      <c r="Q365" t="n">
        <v>100</v>
      </c>
      <c r="R365" t="n">
        <v>0.1466</v>
      </c>
      <c r="S365">
        <f>IMAGE("https://mitra.stanford.edu/kundaje/oak/projects/neuro-variants/variant_position/credible/roussos_2024/variant_figures/roussos_2024.childhood.Astrocyte/rs11586029_count_position.png",4,220,900)</f>
        <v/>
      </c>
      <c r="T365">
        <f>IMAGE("https://mitra.stanford.edu/kundaje/oak/projects/neuro-variants/variant_position/credible/roussos_2024/variant_figures/roussos_2024.childhood.Astrocyte/rs11586029_profile_position.png",4,220,900)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0.02580726004</v>
      </c>
      <c r="G366" t="n">
        <v>0.4243105287044782</v>
      </c>
      <c r="H366" t="n">
        <v>0.0200784677871772</v>
      </c>
      <c r="I366" t="n">
        <v>0.1228944267196556</v>
      </c>
      <c r="J366" t="n">
        <v>0.0169425934830894</v>
      </c>
      <c r="K366" t="n">
        <v>0.6172149283463383</v>
      </c>
      <c r="L366" t="b">
        <v>0</v>
      </c>
      <c r="M366" t="b">
        <v>0</v>
      </c>
      <c r="N366" t="inlineStr">
        <is>
          <t>alt</t>
        </is>
      </c>
      <c r="O366" t="n">
        <v>20</v>
      </c>
      <c r="P366" t="n">
        <v>0.011665</v>
      </c>
      <c r="Q366" t="n">
        <v>25</v>
      </c>
      <c r="R366" t="n">
        <v>0.07729999999999999</v>
      </c>
      <c r="S366">
        <f>IMAGE("https://mitra.stanford.edu/kundaje/oak/projects/neuro-variants/variant_position/credible/roussos_2024/variant_figures/roussos_2024.childhood.Astrocyte/rs61833239_count_position.png",4,220,900)</f>
        <v/>
      </c>
      <c r="T366">
        <f>IMAGE("https://mitra.stanford.edu/kundaje/oak/projects/neuro-variants/variant_position/credible/roussos_2024/variant_figures/roussos_2024.childhood.Astrocyte/rs61833239_profile_position.png",4,220,900)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0.0015763689999999</v>
      </c>
      <c r="G367" t="n">
        <v>0.5257929521268969</v>
      </c>
      <c r="H367" t="n">
        <v>0.015166837077409</v>
      </c>
      <c r="I367" t="n">
        <v>0.2851414037058043</v>
      </c>
      <c r="J367" t="n">
        <v>0.2296260676421423</v>
      </c>
      <c r="K367" t="n">
        <v>0.1766305525662376</v>
      </c>
      <c r="L367" t="b">
        <v>0</v>
      </c>
      <c r="M367" t="b">
        <v>0</v>
      </c>
      <c r="N367" t="inlineStr">
        <is>
          <t>alt</t>
        </is>
      </c>
      <c r="O367" t="n">
        <v>65</v>
      </c>
      <c r="P367" t="n">
        <v>0.00451</v>
      </c>
      <c r="Q367" t="n">
        <v>-80</v>
      </c>
      <c r="R367" t="n">
        <v>0.0609</v>
      </c>
      <c r="S367">
        <f>IMAGE("https://mitra.stanford.edu/kundaje/oak/projects/neuro-variants/variant_position/credible/roussos_2024/variant_figures/roussos_2024.childhood.Astrocyte/rs1043003_count_position.png",4,220,900)</f>
        <v/>
      </c>
      <c r="T367">
        <f>IMAGE("https://mitra.stanford.edu/kundaje/oak/projects/neuro-variants/variant_position/credible/roussos_2024/variant_figures/roussos_2024.childhood.Astrocyte/rs1043003_profile_position.png",4,220,900)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0.0006803607499999</v>
      </c>
      <c r="G368" t="n">
        <v>0.7380438183085972</v>
      </c>
      <c r="H368" t="n">
        <v>0.0337122766336882</v>
      </c>
      <c r="I368" t="n">
        <v>0.0190798746570724</v>
      </c>
      <c r="J368" t="n">
        <v>0.0077526657659926</v>
      </c>
      <c r="K368" t="n">
        <v>0.7210653541559441</v>
      </c>
      <c r="L368" t="b">
        <v>0</v>
      </c>
      <c r="M368" t="b">
        <v>0</v>
      </c>
      <c r="N368" t="inlineStr">
        <is>
          <t>alt</t>
        </is>
      </c>
      <c r="O368" t="n">
        <v>-45</v>
      </c>
      <c r="P368" t="n">
        <v>0.00757</v>
      </c>
      <c r="Q368" t="n">
        <v>95</v>
      </c>
      <c r="R368" t="n">
        <v>0.03558</v>
      </c>
      <c r="S368">
        <f>IMAGE("https://mitra.stanford.edu/kundaje/oak/projects/neuro-variants/variant_position/credible/roussos_2024/variant_figures/roussos_2024.childhood.Astrocyte/rs11014167_count_position.png",4,220,900)</f>
        <v/>
      </c>
      <c r="T368">
        <f>IMAGE("https://mitra.stanford.edu/kundaje/oak/projects/neuro-variants/variant_position/credible/roussos_2024/variant_figures/roussos_2024.childhood.Astrocyte/rs11014167_profile_position.png",4,220,900)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-0.069089052</v>
      </c>
      <c r="G369" t="n">
        <v>0.1358989023828076</v>
      </c>
      <c r="H369" t="n">
        <v>0.0128417442157004</v>
      </c>
      <c r="I369" t="n">
        <v>0.442036064384704</v>
      </c>
      <c r="J369" t="n">
        <v>0.1284406890919221</v>
      </c>
      <c r="K369" t="n">
        <v>0.2808090001898559</v>
      </c>
      <c r="L369" t="b">
        <v>0</v>
      </c>
      <c r="M369" t="b">
        <v>0</v>
      </c>
      <c r="N369" t="inlineStr">
        <is>
          <t>ref</t>
        </is>
      </c>
      <c r="O369" t="n">
        <v>90</v>
      </c>
      <c r="P369" t="n">
        <v>0.00597</v>
      </c>
      <c r="Q369" t="n">
        <v>95</v>
      </c>
      <c r="R369" t="n">
        <v>0.08136</v>
      </c>
      <c r="S369">
        <f>IMAGE("https://mitra.stanford.edu/kundaje/oak/projects/neuro-variants/variant_position/credible/roussos_2024/variant_figures/roussos_2024.childhood.Astrocyte/rs640729_count_position.png",4,220,900)</f>
        <v/>
      </c>
      <c r="T369">
        <f>IMAGE("https://mitra.stanford.edu/kundaje/oak/projects/neuro-variants/variant_position/credible/roussos_2024/variant_figures/roussos_2024.childhood.Astrocyte/rs640729_profile_position.png",4,220,900)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0.0156485679999999</v>
      </c>
      <c r="G370" t="n">
        <v>0.5992767779993592</v>
      </c>
      <c r="H370" t="n">
        <v>0.0087325549967825</v>
      </c>
      <c r="I370" t="n">
        <v>0.8331238544995309</v>
      </c>
      <c r="J370" t="n">
        <v>0.0013891751200262</v>
      </c>
      <c r="K370" t="n">
        <v>0.8999727792642196</v>
      </c>
      <c r="L370" t="b">
        <v>0</v>
      </c>
      <c r="M370" t="b">
        <v>0</v>
      </c>
      <c r="N370" t="inlineStr">
        <is>
          <t>alt</t>
        </is>
      </c>
      <c r="O370" t="n">
        <v>-55</v>
      </c>
      <c r="P370" t="n">
        <v>0.00538</v>
      </c>
      <c r="Q370" t="n">
        <v>95</v>
      </c>
      <c r="R370" t="n">
        <v>0.202</v>
      </c>
      <c r="S370">
        <f>IMAGE("https://mitra.stanford.edu/kundaje/oak/projects/neuro-variants/variant_position/credible/roussos_2024/variant_figures/roussos_2024.childhood.Astrocyte/rs663759_count_position.png",4,220,900)</f>
        <v/>
      </c>
      <c r="T370">
        <f>IMAGE("https://mitra.stanford.edu/kundaje/oak/projects/neuro-variants/variant_position/credible/roussos_2024/variant_figures/roussos_2024.childhood.Astrocyte/rs663759_profile_position.png",4,220,900)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-0.283108576</v>
      </c>
      <c r="G371" t="n">
        <v>0.0070141132871626</v>
      </c>
      <c r="H371" t="n">
        <v>0.0460272985630744</v>
      </c>
      <c r="I371" t="n">
        <v>0.0058243963355083</v>
      </c>
      <c r="J371" t="n">
        <v>0.0303924038072557</v>
      </c>
      <c r="K371" t="n">
        <v>0.5535637376946168</v>
      </c>
      <c r="L371" t="b">
        <v>1</v>
      </c>
      <c r="M371" t="b">
        <v>1</v>
      </c>
      <c r="N371" t="inlineStr">
        <is>
          <t>ref</t>
        </is>
      </c>
      <c r="O371" t="n">
        <v>15</v>
      </c>
      <c r="P371" t="n">
        <v>0.003632</v>
      </c>
      <c r="Q371" t="n">
        <v>10</v>
      </c>
      <c r="R371" t="n">
        <v>0.02002</v>
      </c>
      <c r="S371">
        <f>IMAGE("https://mitra.stanford.edu/kundaje/oak/projects/neuro-variants/variant_position/credible/roussos_2024/variant_figures/roussos_2024.childhood.Astrocyte/rs602572_count_position.png",4,220,900)</f>
        <v/>
      </c>
      <c r="T371">
        <f>IMAGE("https://mitra.stanford.edu/kundaje/oak/projects/neuro-variants/variant_position/credible/roussos_2024/variant_figures/roussos_2024.childhood.Astrocyte/rs602572_profile_position.png",4,220,900)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0.1581559576</v>
      </c>
      <c r="G372" t="n">
        <v>0.036154246091507</v>
      </c>
      <c r="H372" t="n">
        <v>0.0244682298451526</v>
      </c>
      <c r="I372" t="n">
        <v>0.0693017002797271</v>
      </c>
      <c r="J372" t="n">
        <v>0.3297771976826727</v>
      </c>
      <c r="K372" t="n">
        <v>0.1179424395685952</v>
      </c>
      <c r="L372" t="b">
        <v>0</v>
      </c>
      <c r="M372" t="b">
        <v>0</v>
      </c>
      <c r="N372" t="inlineStr">
        <is>
          <t>alt</t>
        </is>
      </c>
      <c r="O372" t="n">
        <v>-25</v>
      </c>
      <c r="P372" t="n">
        <v>0.00544</v>
      </c>
      <c r="Q372" t="n">
        <v>-60</v>
      </c>
      <c r="R372" t="n">
        <v>0.0825</v>
      </c>
      <c r="S372">
        <f>IMAGE("https://mitra.stanford.edu/kundaje/oak/projects/neuro-variants/variant_position/credible/roussos_2024/variant_figures/roussos_2024.childhood.Astrocyte/rs10994321_count_position.png",4,220,900)</f>
        <v/>
      </c>
      <c r="T372">
        <f>IMAGE("https://mitra.stanford.edu/kundaje/oak/projects/neuro-variants/variant_position/credible/roussos_2024/variant_figures/roussos_2024.childhood.Astrocyte/rs10994321_profile_position.png",4,220,900)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0.289738146</v>
      </c>
      <c r="G373" t="n">
        <v>0.0074122237614126</v>
      </c>
      <c r="H373" t="n">
        <v>0.038600608358205</v>
      </c>
      <c r="I373" t="n">
        <v>0.0153104254594201</v>
      </c>
      <c r="J373" t="n">
        <v>0.0697579629502415</v>
      </c>
      <c r="K373" t="n">
        <v>0.4054094934865667</v>
      </c>
      <c r="L373" t="b">
        <v>1</v>
      </c>
      <c r="M373" t="b">
        <v>1</v>
      </c>
      <c r="N373" t="inlineStr">
        <is>
          <t>alt</t>
        </is>
      </c>
      <c r="O373" t="n">
        <v>20</v>
      </c>
      <c r="P373" t="n">
        <v>0.005814</v>
      </c>
      <c r="Q373" t="n">
        <v>100</v>
      </c>
      <c r="R373" t="n">
        <v>0.1299</v>
      </c>
      <c r="S373">
        <f>IMAGE("https://mitra.stanford.edu/kundaje/oak/projects/neuro-variants/variant_position/credible/roussos_2024/variant_figures/roussos_2024.childhood.Astrocyte/rs10994336_count_position.png",4,220,900)</f>
        <v/>
      </c>
      <c r="T373">
        <f>IMAGE("https://mitra.stanford.edu/kundaje/oak/projects/neuro-variants/variant_position/credible/roussos_2024/variant_figures/roussos_2024.childhood.Astrocyte/rs10994336_profile_position.png",4,220,900)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0.0355343382</v>
      </c>
      <c r="G374" t="n">
        <v>0.3181420565426427</v>
      </c>
      <c r="H374" t="n">
        <v>0.0120713296957423</v>
      </c>
      <c r="I374" t="n">
        <v>0.5094837882487946</v>
      </c>
      <c r="J374" t="n">
        <v>0.009846351125460701</v>
      </c>
      <c r="K374" t="n">
        <v>0.692187543840995</v>
      </c>
      <c r="L374" t="b">
        <v>0</v>
      </c>
      <c r="M374" t="b">
        <v>0</v>
      </c>
      <c r="N374" t="inlineStr">
        <is>
          <t>alt</t>
        </is>
      </c>
      <c r="O374" t="n">
        <v>100</v>
      </c>
      <c r="P374" t="n">
        <v>0.02982</v>
      </c>
      <c r="Q374" t="n">
        <v>85</v>
      </c>
      <c r="R374" t="n">
        <v>0.03001</v>
      </c>
      <c r="S374">
        <f>IMAGE("https://mitra.stanford.edu/kundaje/oak/projects/neuro-variants/variant_position/credible/roussos_2024/variant_figures/roussos_2024.childhood.Astrocyte/rs10994337_count_position.png",4,220,900)</f>
        <v/>
      </c>
      <c r="T374">
        <f>IMAGE("https://mitra.stanford.edu/kundaje/oak/projects/neuro-variants/variant_position/credible/roussos_2024/variant_figures/roussos_2024.childhood.Astrocyte/rs10994337_profile_position.png",4,220,900)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-0.1270873742</v>
      </c>
      <c r="G375" t="n">
        <v>0.0515948186380098</v>
      </c>
      <c r="H375" t="n">
        <v>0.0250562139630236</v>
      </c>
      <c r="I375" t="n">
        <v>0.0611815451011766</v>
      </c>
      <c r="J375" t="n">
        <v>0.2060993947165548</v>
      </c>
      <c r="K375" t="n">
        <v>0.1983438133976018</v>
      </c>
      <c r="L375" t="b">
        <v>0</v>
      </c>
      <c r="M375" t="b">
        <v>0</v>
      </c>
      <c r="N375" t="inlineStr">
        <is>
          <t>ref</t>
        </is>
      </c>
      <c r="O375" t="n">
        <v>-95</v>
      </c>
      <c r="P375" t="n">
        <v>0.01341</v>
      </c>
      <c r="Q375" t="n">
        <v>60</v>
      </c>
      <c r="R375" t="n">
        <v>0.2598</v>
      </c>
      <c r="S375">
        <f>IMAGE("https://mitra.stanford.edu/kundaje/oak/projects/neuro-variants/variant_position/credible/roussos_2024/variant_figures/roussos_2024.childhood.Astrocyte/rs61847646_count_position.png",4,220,900)</f>
        <v/>
      </c>
      <c r="T375">
        <f>IMAGE("https://mitra.stanford.edu/kundaje/oak/projects/neuro-variants/variant_position/credible/roussos_2024/variant_figures/roussos_2024.childhood.Astrocyte/rs61847646_profile_position.png",4,220,900)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-0.0128103926</v>
      </c>
      <c r="G376" t="n">
        <v>0.6678009749523948</v>
      </c>
      <c r="H376" t="n">
        <v>0.036490743623975</v>
      </c>
      <c r="I376" t="n">
        <v>0.0138334237234466</v>
      </c>
      <c r="J376" t="n">
        <v>0.002428003327914</v>
      </c>
      <c r="K376" t="n">
        <v>0.8455615642283563</v>
      </c>
      <c r="L376" t="b">
        <v>0</v>
      </c>
      <c r="M376" t="b">
        <v>0</v>
      </c>
      <c r="N376" t="inlineStr">
        <is>
          <t>ref</t>
        </is>
      </c>
      <c r="O376" t="n">
        <v>-10</v>
      </c>
      <c r="P376" t="n">
        <v>0.003067</v>
      </c>
      <c r="Q376" t="n">
        <v>-100</v>
      </c>
      <c r="R376" t="n">
        <v>0.02899</v>
      </c>
      <c r="S376">
        <f>IMAGE("https://mitra.stanford.edu/kundaje/oak/projects/neuro-variants/variant_position/credible/roussos_2024/variant_figures/roussos_2024.childhood.Astrocyte/rs9633553_count_position.png",4,220,900)</f>
        <v/>
      </c>
      <c r="T376">
        <f>IMAGE("https://mitra.stanford.edu/kundaje/oak/projects/neuro-variants/variant_position/credible/roussos_2024/variant_figures/roussos_2024.childhood.Astrocyte/rs9633553_profile_position.png",4,220,900)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-0.08919652759999989</v>
      </c>
      <c r="G377" t="n">
        <v>0.0932507796062169</v>
      </c>
      <c r="H377" t="n">
        <v>0.0112111304526867</v>
      </c>
      <c r="I377" t="n">
        <v>0.5954260084347438</v>
      </c>
      <c r="J377" t="n">
        <v>0.0460045949638585</v>
      </c>
      <c r="K377" t="n">
        <v>0.4578914929073384</v>
      </c>
      <c r="L377" t="b">
        <v>0</v>
      </c>
      <c r="M377" t="b">
        <v>0</v>
      </c>
      <c r="N377" t="inlineStr">
        <is>
          <t>ref</t>
        </is>
      </c>
      <c r="O377" t="n">
        <v>-85</v>
      </c>
      <c r="P377" t="n">
        <v>0.00563</v>
      </c>
      <c r="Q377" t="n">
        <v>100</v>
      </c>
      <c r="R377" t="n">
        <v>0.06134</v>
      </c>
      <c r="S377">
        <f>IMAGE("https://mitra.stanford.edu/kundaje/oak/projects/neuro-variants/variant_position/credible/roussos_2024/variant_figures/roussos_2024.childhood.Astrocyte/rs10821789_count_position.png",4,220,900)</f>
        <v/>
      </c>
      <c r="T377">
        <f>IMAGE("https://mitra.stanford.edu/kundaje/oak/projects/neuro-variants/variant_position/credible/roussos_2024/variant_figures/roussos_2024.childhood.Astrocyte/rs10821789_profile_position.png",4,220,900)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0.0422646515999999</v>
      </c>
      <c r="G378" t="n">
        <v>0.2619923532765723</v>
      </c>
      <c r="H378" t="n">
        <v>0.0104804396273492</v>
      </c>
      <c r="I378" t="n">
        <v>0.6691173077151878</v>
      </c>
      <c r="J378" t="n">
        <v>0.1715280163037255</v>
      </c>
      <c r="K378" t="n">
        <v>0.2283824337241508</v>
      </c>
      <c r="L378" t="b">
        <v>0</v>
      </c>
      <c r="M378" t="b">
        <v>0</v>
      </c>
      <c r="N378" t="inlineStr">
        <is>
          <t>alt</t>
        </is>
      </c>
      <c r="O378" t="n">
        <v>80</v>
      </c>
      <c r="P378" t="n">
        <v>0.01128</v>
      </c>
      <c r="Q378" t="n">
        <v>-95</v>
      </c>
      <c r="R378" t="n">
        <v>0.1156</v>
      </c>
      <c r="S378">
        <f>IMAGE("https://mitra.stanford.edu/kundaje/oak/projects/neuro-variants/variant_position/credible/roussos_2024/variant_figures/roussos_2024.childhood.Astrocyte/rs7915640_count_position.png",4,220,900)</f>
        <v/>
      </c>
      <c r="T378">
        <f>IMAGE("https://mitra.stanford.edu/kundaje/oak/projects/neuro-variants/variant_position/credible/roussos_2024/variant_figures/roussos_2024.childhood.Astrocyte/rs7915640_profile_position.png",4,220,900)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-0.378293832</v>
      </c>
      <c r="G379" t="n">
        <v>0.0030608274460838</v>
      </c>
      <c r="H379" t="n">
        <v>0.0305317534927194</v>
      </c>
      <c r="I379" t="n">
        <v>0.0283243901988819</v>
      </c>
      <c r="J379" t="n">
        <v>0.7435452970315923</v>
      </c>
      <c r="K379" t="n">
        <v>0.012071158914898</v>
      </c>
      <c r="L379" t="b">
        <v>1</v>
      </c>
      <c r="M379" t="b">
        <v>1</v>
      </c>
      <c r="N379" t="inlineStr">
        <is>
          <t>ref</t>
        </is>
      </c>
      <c r="O379" t="n">
        <v>15</v>
      </c>
      <c r="P379" t="n">
        <v>0.004517</v>
      </c>
      <c r="Q379" t="n">
        <v>55</v>
      </c>
      <c r="R379" t="n">
        <v>0.09180000000000001</v>
      </c>
      <c r="S379">
        <f>IMAGE("https://mitra.stanford.edu/kundaje/oak/projects/neuro-variants/variant_position/credible/roussos_2024/variant_figures/roussos_2024.childhood.Astrocyte/rs10740096_count_position.png",4,220,900)</f>
        <v/>
      </c>
      <c r="T379">
        <f>IMAGE("https://mitra.stanford.edu/kundaje/oak/projects/neuro-variants/variant_position/credible/roussos_2024/variant_figures/roussos_2024.childhood.Astrocyte/rs10740096_profile_position.png",4,220,900)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-0.1272935141999999</v>
      </c>
      <c r="G380" t="n">
        <v>0.0547211100882684</v>
      </c>
      <c r="H380" t="n">
        <v>0.0165782062838559</v>
      </c>
      <c r="I380" t="n">
        <v>0.2266579964416628</v>
      </c>
      <c r="J380" t="n">
        <v>0.0370825795913382</v>
      </c>
      <c r="K380" t="n">
        <v>0.5023152827728649</v>
      </c>
      <c r="L380" t="b">
        <v>0</v>
      </c>
      <c r="M380" t="b">
        <v>0</v>
      </c>
      <c r="N380" t="inlineStr">
        <is>
          <t>ref</t>
        </is>
      </c>
      <c r="O380" t="n">
        <v>95</v>
      </c>
      <c r="P380" t="n">
        <v>0.0068</v>
      </c>
      <c r="Q380" t="n">
        <v>100</v>
      </c>
      <c r="R380" t="n">
        <v>0.1759</v>
      </c>
      <c r="S380">
        <f>IMAGE("https://mitra.stanford.edu/kundaje/oak/projects/neuro-variants/variant_position/credible/roussos_2024/variant_figures/roussos_2024.childhood.Astrocyte/rs10822098_count_position.png",4,220,900)</f>
        <v/>
      </c>
      <c r="T380">
        <f>IMAGE("https://mitra.stanford.edu/kundaje/oak/projects/neuro-variants/variant_position/credible/roussos_2024/variant_figures/roussos_2024.childhood.Astrocyte/rs10822098_profile_position.png",4,220,900)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0.001955849558</v>
      </c>
      <c r="G381" t="n">
        <v>0.9219725649746694</v>
      </c>
      <c r="H381" t="n">
        <v>0.0060806517686651</v>
      </c>
      <c r="I381" t="n">
        <v>0.9888228778942504</v>
      </c>
      <c r="J381" t="n">
        <v>0.0386900536587971</v>
      </c>
      <c r="K381" t="n">
        <v>0.4875718008502469</v>
      </c>
      <c r="L381" t="b">
        <v>0</v>
      </c>
      <c r="M381" t="b">
        <v>0</v>
      </c>
      <c r="N381" t="inlineStr">
        <is>
          <t>alt</t>
        </is>
      </c>
      <c r="O381" t="n">
        <v>40</v>
      </c>
      <c r="P381" t="n">
        <v>0.006508</v>
      </c>
      <c r="Q381" t="n">
        <v>-70</v>
      </c>
      <c r="R381" t="n">
        <v>0.06024</v>
      </c>
      <c r="S381">
        <f>IMAGE("https://mitra.stanford.edu/kundaje/oak/projects/neuro-variants/variant_position/credible/roussos_2024/variant_figures/roussos_2024.childhood.Astrocyte/rs10761684_count_position.png",4,220,900)</f>
        <v/>
      </c>
      <c r="T381">
        <f>IMAGE("https://mitra.stanford.edu/kundaje/oak/projects/neuro-variants/variant_position/credible/roussos_2024/variant_figures/roussos_2024.childhood.Astrocyte/rs10761684_profile_position.png",4,220,900)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0.0113497948</v>
      </c>
      <c r="G382" t="n">
        <v>0.6468500548310319</v>
      </c>
      <c r="H382" t="n">
        <v>0.0212931004342011</v>
      </c>
      <c r="I382" t="n">
        <v>0.1021085782193869</v>
      </c>
      <c r="J382" t="n">
        <v>0.0705746757955317</v>
      </c>
      <c r="K382" t="n">
        <v>0.3879414656182943</v>
      </c>
      <c r="L382" t="b">
        <v>0</v>
      </c>
      <c r="M382" t="b">
        <v>0</v>
      </c>
      <c r="N382" t="inlineStr">
        <is>
          <t>alt</t>
        </is>
      </c>
      <c r="O382" t="n">
        <v>65</v>
      </c>
      <c r="P382" t="n">
        <v>0.0255</v>
      </c>
      <c r="Q382" t="n">
        <v>100</v>
      </c>
      <c r="R382" t="n">
        <v>0.1118</v>
      </c>
      <c r="S382">
        <f>IMAGE("https://mitra.stanford.edu/kundaje/oak/projects/neuro-variants/variant_position/credible/roussos_2024/variant_figures/roussos_2024.childhood.Astrocyte/rs73300318_count_position.png",4,220,900)</f>
        <v/>
      </c>
      <c r="T382">
        <f>IMAGE("https://mitra.stanford.edu/kundaje/oak/projects/neuro-variants/variant_position/credible/roussos_2024/variant_figures/roussos_2024.childhood.Astrocyte/rs73300318_profile_position.png",4,220,900)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0.006938066888</v>
      </c>
      <c r="G383" t="n">
        <v>0.7510533357086495</v>
      </c>
      <c r="H383" t="n">
        <v>0.0108976447372577</v>
      </c>
      <c r="I383" t="n">
        <v>0.6087208338559996</v>
      </c>
      <c r="J383" t="n">
        <v>0.0082144520009464</v>
      </c>
      <c r="K383" t="n">
        <v>0.7152108052955229</v>
      </c>
      <c r="L383" t="b">
        <v>0</v>
      </c>
      <c r="M383" t="b">
        <v>0</v>
      </c>
      <c r="N383" t="inlineStr">
        <is>
          <t>alt</t>
        </is>
      </c>
      <c r="O383" t="n">
        <v>-70</v>
      </c>
      <c r="P383" t="n">
        <v>0.004654</v>
      </c>
      <c r="Q383" t="n">
        <v>-90</v>
      </c>
      <c r="R383" t="n">
        <v>0.1456</v>
      </c>
      <c r="S383">
        <f>IMAGE("https://mitra.stanford.edu/kundaje/oak/projects/neuro-variants/variant_position/credible/roussos_2024/variant_figures/roussos_2024.childhood.Astrocyte/rs10995385_count_position.png",4,220,900)</f>
        <v/>
      </c>
      <c r="T383">
        <f>IMAGE("https://mitra.stanford.edu/kundaje/oak/projects/neuro-variants/variant_position/credible/roussos_2024/variant_figures/roussos_2024.childhood.Astrocyte/rs10995385_profile_position.png",4,220,900)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-0.0508863584</v>
      </c>
      <c r="G384" t="n">
        <v>0.2156754321695267</v>
      </c>
      <c r="H384" t="n">
        <v>0.018257796883434</v>
      </c>
      <c r="I384" t="n">
        <v>0.1705445061391301</v>
      </c>
      <c r="J384" t="n">
        <v>0.0100585438086296</v>
      </c>
      <c r="K384" t="n">
        <v>0.709365022575709</v>
      </c>
      <c r="L384" t="b">
        <v>0</v>
      </c>
      <c r="M384" t="b">
        <v>0</v>
      </c>
      <c r="N384" t="inlineStr">
        <is>
          <t>ref</t>
        </is>
      </c>
      <c r="O384" t="n">
        <v>35</v>
      </c>
      <c r="P384" t="n">
        <v>0.003052</v>
      </c>
      <c r="Q384" t="n">
        <v>50</v>
      </c>
      <c r="R384" t="n">
        <v>0.05035</v>
      </c>
      <c r="S384">
        <f>IMAGE("https://mitra.stanford.edu/kundaje/oak/projects/neuro-variants/variant_position/credible/roussos_2024/variant_figures/roussos_2024.childhood.Astrocyte/rs113899647_count_position.png",4,220,900)</f>
        <v/>
      </c>
      <c r="T384">
        <f>IMAGE("https://mitra.stanford.edu/kundaje/oak/projects/neuro-variants/variant_position/credible/roussos_2024/variant_figures/roussos_2024.childhood.Astrocyte/rs113899647_profile_position.png",4,220,900)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-0.3755065219999999</v>
      </c>
      <c r="G385" t="n">
        <v>0.0031909447218303</v>
      </c>
      <c r="H385" t="n">
        <v>0.0157398425270844</v>
      </c>
      <c r="I385" t="n">
        <v>0.2590325135045204</v>
      </c>
      <c r="J385" t="n">
        <v>0.9045644325372292</v>
      </c>
      <c r="K385" t="n">
        <v>0.0007996006579366</v>
      </c>
      <c r="L385" t="b">
        <v>1</v>
      </c>
      <c r="M385" t="b">
        <v>1</v>
      </c>
      <c r="N385" t="inlineStr">
        <is>
          <t>ref</t>
        </is>
      </c>
      <c r="O385" t="n">
        <v>-40</v>
      </c>
      <c r="P385" t="n">
        <v>0.01971</v>
      </c>
      <c r="Q385" t="n">
        <v>-15</v>
      </c>
      <c r="R385" t="n">
        <v>0.0293</v>
      </c>
      <c r="S385">
        <f>IMAGE("https://mitra.stanford.edu/kundaje/oak/projects/neuro-variants/variant_position/credible/roussos_2024/variant_figures/roussos_2024.childhood.Astrocyte/rs59113396_count_position.png",4,220,900)</f>
        <v/>
      </c>
      <c r="T385">
        <f>IMAGE("https://mitra.stanford.edu/kundaje/oak/projects/neuro-variants/variant_position/credible/roussos_2024/variant_figures/roussos_2024.childhood.Astrocyte/rs59113396_profile_position.png",4,220,900)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-0.2051262132</v>
      </c>
      <c r="G386" t="n">
        <v>0.0163290363588215</v>
      </c>
      <c r="H386" t="n">
        <v>0.0266702639597628</v>
      </c>
      <c r="I386" t="n">
        <v>0.0538484107328667</v>
      </c>
      <c r="J386" t="n">
        <v>0.2945089418607313</v>
      </c>
      <c r="K386" t="n">
        <v>0.1380635303872461</v>
      </c>
      <c r="L386" t="b">
        <v>1</v>
      </c>
      <c r="M386" t="b">
        <v>0</v>
      </c>
      <c r="N386" t="inlineStr">
        <is>
          <t>ref</t>
        </is>
      </c>
      <c r="O386" t="n">
        <v>100</v>
      </c>
      <c r="P386" t="n">
        <v>0.0097</v>
      </c>
      <c r="Q386" t="n">
        <v>-100</v>
      </c>
      <c r="R386" t="n">
        <v>0.2424</v>
      </c>
      <c r="S386">
        <f>IMAGE("https://mitra.stanford.edu/kundaje/oak/projects/neuro-variants/variant_position/credible/roussos_2024/variant_figures/roussos_2024.childhood.Astrocyte/rs16918239_count_position.png",4,220,900)</f>
        <v/>
      </c>
      <c r="T386">
        <f>IMAGE("https://mitra.stanford.edu/kundaje/oak/projects/neuro-variants/variant_position/credible/roussos_2024/variant_figures/roussos_2024.childhood.Astrocyte/rs16918239_profile_position.png",4,220,900)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-0.240135638</v>
      </c>
      <c r="G387" t="n">
        <v>0.0110168015562417</v>
      </c>
      <c r="H387" t="n">
        <v>0.0240876150532802</v>
      </c>
      <c r="I387" t="n">
        <v>0.068535189183193</v>
      </c>
      <c r="J387" t="n">
        <v>0.255822704617099</v>
      </c>
      <c r="K387" t="n">
        <v>0.1587517818546751</v>
      </c>
      <c r="L387" t="b">
        <v>1</v>
      </c>
      <c r="M387" t="b">
        <v>0</v>
      </c>
      <c r="N387" t="inlineStr">
        <is>
          <t>ref</t>
        </is>
      </c>
      <c r="O387" t="n">
        <v>-55</v>
      </c>
      <c r="P387" t="n">
        <v>0.0008335</v>
      </c>
      <c r="Q387" t="n">
        <v>-55</v>
      </c>
      <c r="R387" t="n">
        <v>0.0718</v>
      </c>
      <c r="S387">
        <f>IMAGE("https://mitra.stanford.edu/kundaje/oak/projects/neuro-variants/variant_position/credible/roussos_2024/variant_figures/roussos_2024.childhood.Astrocyte/rs74557321_count_position.png",4,220,900)</f>
        <v/>
      </c>
      <c r="T387">
        <f>IMAGE("https://mitra.stanford.edu/kundaje/oak/projects/neuro-variants/variant_position/credible/roussos_2024/variant_figures/roussos_2024.childhood.Astrocyte/rs74557321_profile_position.png",4,220,900)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0.00167244262</v>
      </c>
      <c r="G388" t="n">
        <v>0.7891354711839109</v>
      </c>
      <c r="H388" t="n">
        <v>0.0406954065321217</v>
      </c>
      <c r="I388" t="n">
        <v>0.0091199207472599</v>
      </c>
      <c r="J388" t="n">
        <v>0.0161938128277345</v>
      </c>
      <c r="K388" t="n">
        <v>0.637307855145261</v>
      </c>
      <c r="L388" t="b">
        <v>1</v>
      </c>
      <c r="M388" t="b">
        <v>0</v>
      </c>
      <c r="N388" t="inlineStr">
        <is>
          <t>alt</t>
        </is>
      </c>
      <c r="O388" t="n">
        <v>-70</v>
      </c>
      <c r="P388" t="n">
        <v>0.005615</v>
      </c>
      <c r="Q388" t="n">
        <v>-80</v>
      </c>
      <c r="R388" t="n">
        <v>0.03345</v>
      </c>
      <c r="S388">
        <f>IMAGE("https://mitra.stanford.edu/kundaje/oak/projects/neuro-variants/variant_position/credible/roussos_2024/variant_figures/roussos_2024.childhood.Astrocyte/rs112637649_count_position.png",4,220,900)</f>
        <v/>
      </c>
      <c r="T388">
        <f>IMAGE("https://mitra.stanford.edu/kundaje/oak/projects/neuro-variants/variant_position/credible/roussos_2024/variant_figures/roussos_2024.childhood.Astrocyte/rs112637649_profile_position.png",4,220,900)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-0.003838648</v>
      </c>
      <c r="G389" t="n">
        <v>0.8522597310441056</v>
      </c>
      <c r="H389" t="n">
        <v>0.0514016194520905</v>
      </c>
      <c r="I389" t="n">
        <v>0.0037738531106976</v>
      </c>
      <c r="J389" t="n">
        <v>0.0012609435704853</v>
      </c>
      <c r="K389" t="n">
        <v>0.8877052928734274</v>
      </c>
      <c r="L389" t="b">
        <v>0</v>
      </c>
      <c r="M389" t="b">
        <v>0</v>
      </c>
      <c r="N389" t="inlineStr">
        <is>
          <t>ref</t>
        </is>
      </c>
      <c r="O389" t="n">
        <v>-95</v>
      </c>
      <c r="P389" t="n">
        <v>0.01343</v>
      </c>
      <c r="Q389" t="n">
        <v>-95</v>
      </c>
      <c r="R389" t="n">
        <v>0.0944</v>
      </c>
      <c r="S389">
        <f>IMAGE("https://mitra.stanford.edu/kundaje/oak/projects/neuro-variants/variant_position/credible/roussos_2024/variant_figures/roussos_2024.childhood.Astrocyte/rs76032436_count_position.png",4,220,900)</f>
        <v/>
      </c>
      <c r="T389">
        <f>IMAGE("https://mitra.stanford.edu/kundaje/oak/projects/neuro-variants/variant_position/credible/roussos_2024/variant_figures/roussos_2024.childhood.Astrocyte/rs76032436_profile_position.png",4,220,900)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-0.0201747278</v>
      </c>
      <c r="G390" t="n">
        <v>0.5582440492748167</v>
      </c>
      <c r="H390" t="n">
        <v>0.0290576111435602</v>
      </c>
      <c r="I390" t="n">
        <v>0.0341649326765714</v>
      </c>
      <c r="J390" t="n">
        <v>0.0470655583797027</v>
      </c>
      <c r="K390" t="n">
        <v>0.4553096386184821</v>
      </c>
      <c r="L390" t="b">
        <v>0</v>
      </c>
      <c r="M390" t="b">
        <v>0</v>
      </c>
      <c r="N390" t="inlineStr">
        <is>
          <t>ref</t>
        </is>
      </c>
      <c r="O390" t="n">
        <v>-65</v>
      </c>
      <c r="P390" t="n">
        <v>0.015015</v>
      </c>
      <c r="Q390" t="n">
        <v>-65</v>
      </c>
      <c r="R390" t="n">
        <v>0.1974</v>
      </c>
      <c r="S390">
        <f>IMAGE("https://mitra.stanford.edu/kundaje/oak/projects/neuro-variants/variant_position/credible/roussos_2024/variant_figures/roussos_2024.childhood.Astrocyte/rs76460998_count_position.png",4,220,900)</f>
        <v/>
      </c>
      <c r="T390">
        <f>IMAGE("https://mitra.stanford.edu/kundaje/oak/projects/neuro-variants/variant_position/credible/roussos_2024/variant_figures/roussos_2024.childhood.Astrocyte/rs76460998_profile_position.png",4,220,900)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0.01724027602</v>
      </c>
      <c r="G391" t="n">
        <v>0.5319992286926803</v>
      </c>
      <c r="H391" t="n">
        <v>0.0139006312414342</v>
      </c>
      <c r="I391" t="n">
        <v>0.3576895435958362</v>
      </c>
      <c r="J391" t="n">
        <v>0.0004129361208429</v>
      </c>
      <c r="K391" t="n">
        <v>0.9432204306695344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0.009889999999999999</v>
      </c>
      <c r="Q391" t="n">
        <v>-75</v>
      </c>
      <c r="R391" t="n">
        <v>0.03735</v>
      </c>
      <c r="S391">
        <f>IMAGE("https://mitra.stanford.edu/kundaje/oak/projects/neuro-variants/variant_position/credible/roussos_2024/variant_figures/roussos_2024.childhood.Astrocyte/rs58429288_count_position.png",4,220,900)</f>
        <v/>
      </c>
      <c r="T391">
        <f>IMAGE("https://mitra.stanford.edu/kundaje/oak/projects/neuro-variants/variant_position/credible/roussos_2024/variant_figures/roussos_2024.childhood.Astrocyte/rs58429288_profile_position.png",4,220,900)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-0.00084573492</v>
      </c>
      <c r="G392" t="n">
        <v>0.6710195021951367</v>
      </c>
      <c r="H392" t="n">
        <v>0.0115071272604689</v>
      </c>
      <c r="I392" t="n">
        <v>0.5564244225365463</v>
      </c>
      <c r="J392" t="n">
        <v>0.1784945005457473</v>
      </c>
      <c r="K392" t="n">
        <v>0.2203569499353047</v>
      </c>
      <c r="L392" t="b">
        <v>0</v>
      </c>
      <c r="M392" t="b">
        <v>0</v>
      </c>
      <c r="N392" t="inlineStr">
        <is>
          <t>ref</t>
        </is>
      </c>
      <c r="O392" t="n">
        <v>35</v>
      </c>
      <c r="P392" t="n">
        <v>0.007492</v>
      </c>
      <c r="Q392" t="n">
        <v>-90</v>
      </c>
      <c r="R392" t="n">
        <v>0.1841</v>
      </c>
      <c r="S392">
        <f>IMAGE("https://mitra.stanford.edu/kundaje/oak/projects/neuro-variants/variant_position/credible/roussos_2024/variant_figures/roussos_2024.childhood.Astrocyte/rs112188494_count_position.png",4,220,900)</f>
        <v/>
      </c>
      <c r="T392">
        <f>IMAGE("https://mitra.stanford.edu/kundaje/oak/projects/neuro-variants/variant_position/credible/roussos_2024/variant_figures/roussos_2024.childhood.Astrocyte/rs112188494_profile_position.png",4,220,900)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-0.4573757699999999</v>
      </c>
      <c r="G393" t="n">
        <v>0.0016321411294616</v>
      </c>
      <c r="H393" t="n">
        <v>0.1358260273432319</v>
      </c>
      <c r="I393" t="n">
        <v>0.0001843706108023</v>
      </c>
      <c r="J393" t="n">
        <v>0.09306175723019849</v>
      </c>
      <c r="K393" t="n">
        <v>0.336873837712478</v>
      </c>
      <c r="L393" t="b">
        <v>1</v>
      </c>
      <c r="M393" t="b">
        <v>1</v>
      </c>
      <c r="N393" t="inlineStr">
        <is>
          <t>ref</t>
        </is>
      </c>
      <c r="O393" t="n">
        <v>-85</v>
      </c>
      <c r="P393" t="n">
        <v>0.004456</v>
      </c>
      <c r="Q393" t="n">
        <v>45</v>
      </c>
      <c r="R393" t="n">
        <v>0.04297</v>
      </c>
      <c r="S393">
        <f>IMAGE("https://mitra.stanford.edu/kundaje/oak/projects/neuro-variants/variant_position/credible/roussos_2024/variant_figures/roussos_2024.childhood.Astrocyte/rs78005057_count_position.png",4,220,900)</f>
        <v/>
      </c>
      <c r="T393">
        <f>IMAGE("https://mitra.stanford.edu/kundaje/oak/projects/neuro-variants/variant_position/credible/roussos_2024/variant_figures/roussos_2024.childhood.Astrocyte/rs78005057_profile_position.png",4,220,900)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-0.0561520102</v>
      </c>
      <c r="G394" t="n">
        <v>0.2046048057595348</v>
      </c>
      <c r="H394" t="n">
        <v>0.0133466562340074</v>
      </c>
      <c r="I394" t="n">
        <v>0.4018567007709261</v>
      </c>
      <c r="J394" t="n">
        <v>0.0166220146092372</v>
      </c>
      <c r="K394" t="n">
        <v>0.636152044436249</v>
      </c>
      <c r="L394" t="b">
        <v>0</v>
      </c>
      <c r="M394" t="b">
        <v>0</v>
      </c>
      <c r="N394" t="inlineStr">
        <is>
          <t>ref</t>
        </is>
      </c>
      <c r="O394" t="n">
        <v>0</v>
      </c>
      <c r="P394" t="n">
        <v>0</v>
      </c>
      <c r="Q394" t="n">
        <v>45</v>
      </c>
      <c r="R394" t="n">
        <v>0.07806</v>
      </c>
      <c r="S394">
        <f>IMAGE("https://mitra.stanford.edu/kundaje/oak/projects/neuro-variants/variant_position/credible/roussos_2024/variant_figures/roussos_2024.childhood.Astrocyte/rs10822313_count_position.png",4,220,900)</f>
        <v/>
      </c>
      <c r="T394">
        <f>IMAGE("https://mitra.stanford.edu/kundaje/oak/projects/neuro-variants/variant_position/credible/roussos_2024/variant_figures/roussos_2024.childhood.Astrocyte/rs10822313_profile_position.png",4,220,900)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-0.1151518268</v>
      </c>
      <c r="G395" t="n">
        <v>0.0572312148352011</v>
      </c>
      <c r="H395" t="n">
        <v>0.0174960115278702</v>
      </c>
      <c r="I395" t="n">
        <v>0.1902426203806872</v>
      </c>
      <c r="J395" t="n">
        <v>0.1775266576599268</v>
      </c>
      <c r="K395" t="n">
        <v>0.2428312637399307</v>
      </c>
      <c r="L395" t="b">
        <v>0</v>
      </c>
      <c r="M395" t="b">
        <v>0</v>
      </c>
      <c r="N395" t="inlineStr">
        <is>
          <t>ref</t>
        </is>
      </c>
      <c r="O395" t="n">
        <v>100</v>
      </c>
      <c r="P395" t="n">
        <v>0.01137</v>
      </c>
      <c r="Q395" t="n">
        <v>-75</v>
      </c>
      <c r="R395" t="n">
        <v>0.2433</v>
      </c>
      <c r="S395">
        <f>IMAGE("https://mitra.stanford.edu/kundaje/oak/projects/neuro-variants/variant_position/credible/roussos_2024/variant_figures/roussos_2024.childhood.Astrocyte/rs3999058_count_position.png",4,220,900)</f>
        <v/>
      </c>
      <c r="T395">
        <f>IMAGE("https://mitra.stanford.edu/kundaje/oak/projects/neuro-variants/variant_position/credible/roussos_2024/variant_figures/roussos_2024.childhood.Astrocyte/rs3999058_profile_position.png",4,220,900)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-0.0411750739</v>
      </c>
      <c r="G396" t="n">
        <v>0.3057139162074336</v>
      </c>
      <c r="H396" t="n">
        <v>0.0119730365539375</v>
      </c>
      <c r="I396" t="n">
        <v>0.5008753635179934</v>
      </c>
      <c r="J396" t="n">
        <v>0.0384801508247272</v>
      </c>
      <c r="K396" t="n">
        <v>0.5382785778896529</v>
      </c>
      <c r="L396" t="b">
        <v>0</v>
      </c>
      <c r="M396" t="b">
        <v>0</v>
      </c>
      <c r="N396" t="inlineStr">
        <is>
          <t>ref</t>
        </is>
      </c>
      <c r="O396" t="n">
        <v>-90</v>
      </c>
      <c r="P396" t="n">
        <v>0.00656</v>
      </c>
      <c r="Q396" t="n">
        <v>-95</v>
      </c>
      <c r="R396" t="n">
        <v>0.1318</v>
      </c>
      <c r="S396">
        <f>IMAGE("https://mitra.stanford.edu/kundaje/oak/projects/neuro-variants/variant_position/credible/roussos_2024/variant_figures/roussos_2024.childhood.Astrocyte/rs2394090_count_position.png",4,220,900)</f>
        <v/>
      </c>
      <c r="T396">
        <f>IMAGE("https://mitra.stanford.edu/kundaje/oak/projects/neuro-variants/variant_position/credible/roussos_2024/variant_figures/roussos_2024.childhood.Astrocyte/rs2394090_profile_position.png",4,220,900)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-0.0690404786</v>
      </c>
      <c r="G397" t="n">
        <v>0.1390001712084553</v>
      </c>
      <c r="H397" t="n">
        <v>0.0111993311432716</v>
      </c>
      <c r="I397" t="n">
        <v>0.5905518699967014</v>
      </c>
      <c r="J397" t="n">
        <v>0.0029332966957477</v>
      </c>
      <c r="K397" t="n">
        <v>0.8381050374689595</v>
      </c>
      <c r="L397" t="b">
        <v>0</v>
      </c>
      <c r="M397" t="b">
        <v>0</v>
      </c>
      <c r="N397" t="inlineStr">
        <is>
          <t>ref</t>
        </is>
      </c>
      <c r="O397" t="n">
        <v>80</v>
      </c>
      <c r="P397" t="n">
        <v>0.00942</v>
      </c>
      <c r="Q397" t="n">
        <v>-75</v>
      </c>
      <c r="R397" t="n">
        <v>0.05945</v>
      </c>
      <c r="S397">
        <f>IMAGE("https://mitra.stanford.edu/kundaje/oak/projects/neuro-variants/variant_position/credible/roussos_2024/variant_figures/roussos_2024.childhood.Astrocyte/rs10822315_count_position.png",4,220,900)</f>
        <v/>
      </c>
      <c r="T397">
        <f>IMAGE("https://mitra.stanford.edu/kundaje/oak/projects/neuro-variants/variant_position/credible/roussos_2024/variant_figures/roussos_2024.childhood.Astrocyte/rs10822315_profile_position.png",4,220,900)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-0.03291114212</v>
      </c>
      <c r="G398" t="n">
        <v>0.3521027171627667</v>
      </c>
      <c r="H398" t="n">
        <v>0.011451396482431</v>
      </c>
      <c r="I398" t="n">
        <v>0.5703147478198942</v>
      </c>
      <c r="J398" t="n">
        <v>0.0302084525963072</v>
      </c>
      <c r="K398" t="n">
        <v>0.5473239712577174</v>
      </c>
      <c r="L398" t="b">
        <v>0</v>
      </c>
      <c r="M398" t="b">
        <v>0</v>
      </c>
      <c r="N398" t="inlineStr">
        <is>
          <t>ref</t>
        </is>
      </c>
      <c r="O398" t="n">
        <v>100</v>
      </c>
      <c r="P398" t="n">
        <v>0.005478</v>
      </c>
      <c r="Q398" t="n">
        <v>95</v>
      </c>
      <c r="R398" t="n">
        <v>0.083</v>
      </c>
      <c r="S398">
        <f>IMAGE("https://mitra.stanford.edu/kundaje/oak/projects/neuro-variants/variant_position/credible/roussos_2024/variant_figures/roussos_2024.childhood.Astrocyte/rs56023698_count_position.png",4,220,900)</f>
        <v/>
      </c>
      <c r="T398">
        <f>IMAGE("https://mitra.stanford.edu/kundaje/oak/projects/neuro-variants/variant_position/credible/roussos_2024/variant_figures/roussos_2024.childhood.Astrocyte/rs56023698_profile_position.png",4,220,900)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0.01563299534</v>
      </c>
      <c r="G399" t="n">
        <v>0.5883411174444733</v>
      </c>
      <c r="H399" t="n">
        <v>0.0281915968674875</v>
      </c>
      <c r="I399" t="n">
        <v>0.0384540763413323</v>
      </c>
      <c r="J399" t="n">
        <v>0.0129513865036293</v>
      </c>
      <c r="K399" t="n">
        <v>0.6558169074370712</v>
      </c>
      <c r="L399" t="b">
        <v>0</v>
      </c>
      <c r="M399" t="b">
        <v>0</v>
      </c>
      <c r="N399" t="inlineStr">
        <is>
          <t>alt</t>
        </is>
      </c>
      <c r="O399" t="n">
        <v>-95</v>
      </c>
      <c r="P399" t="n">
        <v>0.002472</v>
      </c>
      <c r="Q399" t="n">
        <v>30</v>
      </c>
      <c r="R399" t="n">
        <v>0.00769</v>
      </c>
      <c r="S399">
        <f>IMAGE("https://mitra.stanford.edu/kundaje/oak/projects/neuro-variants/variant_position/credible/roussos_2024/variant_figures/roussos_2024.childhood.Astrocyte/rs76523509_count_position.png",4,220,900)</f>
        <v/>
      </c>
      <c r="T399">
        <f>IMAGE("https://mitra.stanford.edu/kundaje/oak/projects/neuro-variants/variant_position/credible/roussos_2024/variant_figures/roussos_2024.childhood.Astrocyte/rs76523509_profile_position.png",4,220,900)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-0.02047635126</v>
      </c>
      <c r="G400" t="n">
        <v>0.5307047038368679</v>
      </c>
      <c r="H400" t="n">
        <v>0.0118000582956888</v>
      </c>
      <c r="I400" t="n">
        <v>0.5307488218846549</v>
      </c>
      <c r="J400" t="n">
        <v>5.266652927572073e-05</v>
      </c>
      <c r="K400" t="n">
        <v>0.9935905106475714</v>
      </c>
      <c r="L400" t="b">
        <v>0</v>
      </c>
      <c r="M400" t="b">
        <v>0</v>
      </c>
      <c r="N400" t="inlineStr">
        <is>
          <t>ref</t>
        </is>
      </c>
      <c r="O400" t="n">
        <v>65</v>
      </c>
      <c r="P400" t="n">
        <v>0.003704</v>
      </c>
      <c r="Q400" t="n">
        <v>-100</v>
      </c>
      <c r="R400" t="n">
        <v>0.1233</v>
      </c>
      <c r="S400">
        <f>IMAGE("https://mitra.stanford.edu/kundaje/oak/projects/neuro-variants/variant_position/credible/roussos_2024/variant_figures/roussos_2024.childhood.Astrocyte/rs60020658_count_position.png",4,220,900)</f>
        <v/>
      </c>
      <c r="T400">
        <f>IMAGE("https://mitra.stanford.edu/kundaje/oak/projects/neuro-variants/variant_position/credible/roussos_2024/variant_figures/roussos_2024.childhood.Astrocyte/rs60020658_profile_position.png",4,220,900)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-0.026727492</v>
      </c>
      <c r="G401" t="n">
        <v>0.4308471725129189</v>
      </c>
      <c r="H401" t="n">
        <v>0.0471493785333312</v>
      </c>
      <c r="I401" t="n">
        <v>0.0050509687816658</v>
      </c>
      <c r="J401" t="n">
        <v>0.0161129048262385</v>
      </c>
      <c r="K401" t="n">
        <v>0.6266378995529001</v>
      </c>
      <c r="L401" t="b">
        <v>1</v>
      </c>
      <c r="M401" t="b">
        <v>0</v>
      </c>
      <c r="N401" t="inlineStr">
        <is>
          <t>ref</t>
        </is>
      </c>
      <c r="O401" t="n">
        <v>60</v>
      </c>
      <c r="P401" t="n">
        <v>0.01004</v>
      </c>
      <c r="Q401" t="n">
        <v>75</v>
      </c>
      <c r="R401" t="n">
        <v>0.237</v>
      </c>
      <c r="S401">
        <f>IMAGE("https://mitra.stanford.edu/kundaje/oak/projects/neuro-variants/variant_position/credible/roussos_2024/variant_figures/roussos_2024.childhood.Astrocyte/rs4919647_count_position.png",4,220,900)</f>
        <v/>
      </c>
      <c r="T401">
        <f>IMAGE("https://mitra.stanford.edu/kundaje/oak/projects/neuro-variants/variant_position/credible/roussos_2024/variant_figures/roussos_2024.childhood.Astrocyte/rs4919647_profile_position.png",4,220,900)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0.0486984312</v>
      </c>
      <c r="G402" t="n">
        <v>0.2294487201367628</v>
      </c>
      <c r="H402" t="n">
        <v>0.0162604188211363</v>
      </c>
      <c r="I402" t="n">
        <v>0.2386253987895508</v>
      </c>
      <c r="J402" t="n">
        <v>0.3978780731683115</v>
      </c>
      <c r="K402" t="n">
        <v>0.0864181869304611</v>
      </c>
      <c r="L402" t="b">
        <v>0</v>
      </c>
      <c r="M402" t="b">
        <v>0</v>
      </c>
      <c r="N402" t="inlineStr">
        <is>
          <t>alt</t>
        </is>
      </c>
      <c r="O402" t="n">
        <v>50</v>
      </c>
      <c r="P402" t="n">
        <v>0.00525</v>
      </c>
      <c r="Q402" t="n">
        <v>85</v>
      </c>
      <c r="R402" t="n">
        <v>0.1697</v>
      </c>
      <c r="S402">
        <f>IMAGE("https://mitra.stanford.edu/kundaje/oak/projects/neuro-variants/variant_position/credible/roussos_2024/variant_figures/roussos_2024.childhood.Astrocyte/rs4919652_count_position.png",4,220,900)</f>
        <v/>
      </c>
      <c r="T402">
        <f>IMAGE("https://mitra.stanford.edu/kundaje/oak/projects/neuro-variants/variant_position/credible/roussos_2024/variant_figures/roussos_2024.childhood.Astrocyte/rs4919652_profile_position.png",4,220,900)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-0.0335814673999999</v>
      </c>
      <c r="G403" t="n">
        <v>0.3514341079067156</v>
      </c>
      <c r="H403" t="n">
        <v>0.0192638949078403</v>
      </c>
      <c r="I403" t="n">
        <v>0.1410464589112916</v>
      </c>
      <c r="J403" t="n">
        <v>0.0021142940013586</v>
      </c>
      <c r="K403" t="n">
        <v>0.8656427985319105</v>
      </c>
      <c r="L403" t="b">
        <v>0</v>
      </c>
      <c r="M403" t="b">
        <v>0</v>
      </c>
      <c r="N403" t="inlineStr">
        <is>
          <t>ref</t>
        </is>
      </c>
      <c r="O403" t="n">
        <v>35</v>
      </c>
      <c r="P403" t="n">
        <v>3.815e-05</v>
      </c>
      <c r="Q403" t="n">
        <v>-100</v>
      </c>
      <c r="R403" t="n">
        <v>0.03735</v>
      </c>
      <c r="S403">
        <f>IMAGE("https://mitra.stanford.edu/kundaje/oak/projects/neuro-variants/variant_position/credible/roussos_2024/variant_figures/roussos_2024.childhood.Astrocyte/rs2145307_count_position.png",4,220,900)</f>
        <v/>
      </c>
      <c r="T403">
        <f>IMAGE("https://mitra.stanford.edu/kundaje/oak/projects/neuro-variants/variant_position/credible/roussos_2024/variant_figures/roussos_2024.childhood.Astrocyte/rs2145307_profile_position.png",4,220,900)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-0.0279178886</v>
      </c>
      <c r="G404" t="n">
        <v>0.4160793354165611</v>
      </c>
      <c r="H404" t="n">
        <v>0.0523498862014166</v>
      </c>
      <c r="I404" t="n">
        <v>0.0034029993805774</v>
      </c>
      <c r="J404" t="n">
        <v>0.0108767832199857</v>
      </c>
      <c r="K404" t="n">
        <v>0.7163067362607592</v>
      </c>
      <c r="L404" t="b">
        <v>1</v>
      </c>
      <c r="M404" t="b">
        <v>0</v>
      </c>
      <c r="N404" t="inlineStr">
        <is>
          <t>ref</t>
        </is>
      </c>
      <c r="O404" t="n">
        <v>30</v>
      </c>
      <c r="P404" t="n">
        <v>0.01398</v>
      </c>
      <c r="Q404" t="n">
        <v>80</v>
      </c>
      <c r="R404" t="n">
        <v>0.294</v>
      </c>
      <c r="S404">
        <f>IMAGE("https://mitra.stanford.edu/kundaje/oak/projects/neuro-variants/variant_position/credible/roussos_2024/variant_figures/roussos_2024.childhood.Astrocyte/rs10883740_count_position.png",4,220,900)</f>
        <v/>
      </c>
      <c r="T404">
        <f>IMAGE("https://mitra.stanford.edu/kundaje/oak/projects/neuro-variants/variant_position/credible/roussos_2024/variant_figures/roussos_2024.childhood.Astrocyte/rs10883740_profile_position.png",4,220,900)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-0.00259748914</v>
      </c>
      <c r="G405" t="n">
        <v>0.7460623839349467</v>
      </c>
      <c r="H405" t="n">
        <v>0.0246138217551981</v>
      </c>
      <c r="I405" t="n">
        <v>0.0623884059898638</v>
      </c>
      <c r="J405" t="n">
        <v>0.4241304298046758</v>
      </c>
      <c r="K405" t="n">
        <v>0.0782078564752394</v>
      </c>
      <c r="L405" t="b">
        <v>0</v>
      </c>
      <c r="M405" t="b">
        <v>0</v>
      </c>
      <c r="N405" t="inlineStr">
        <is>
          <t>ref</t>
        </is>
      </c>
      <c r="O405" t="n">
        <v>65</v>
      </c>
      <c r="P405" t="n">
        <v>0.001007</v>
      </c>
      <c r="Q405" t="n">
        <v>65</v>
      </c>
      <c r="R405" t="n">
        <v>0.1345</v>
      </c>
      <c r="S405">
        <f>IMAGE("https://mitra.stanford.edu/kundaje/oak/projects/neuro-variants/variant_position/credible/roussos_2024/variant_figures/roussos_2024.childhood.Astrocyte/rs74558061_count_position.png",4,220,900)</f>
        <v/>
      </c>
      <c r="T405">
        <f>IMAGE("https://mitra.stanford.edu/kundaje/oak/projects/neuro-variants/variant_position/credible/roussos_2024/variant_figures/roussos_2024.childhood.Astrocyte/rs74558061_profile_position.png",4,220,900)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-0.0210045142</v>
      </c>
      <c r="G406" t="n">
        <v>0.5275702764024773</v>
      </c>
      <c r="H406" t="n">
        <v>0.0347221539436733</v>
      </c>
      <c r="I406" t="n">
        <v>0.0165489086953561</v>
      </c>
      <c r="J406" t="n">
        <v>0.1926312655995969</v>
      </c>
      <c r="K406" t="n">
        <v>0.2086410859809582</v>
      </c>
      <c r="L406" t="b">
        <v>1</v>
      </c>
      <c r="M406" t="b">
        <v>0</v>
      </c>
      <c r="N406" t="inlineStr">
        <is>
          <t>ref</t>
        </is>
      </c>
      <c r="O406" t="n">
        <v>-90</v>
      </c>
      <c r="P406" t="n">
        <v>0.003975</v>
      </c>
      <c r="Q406" t="n">
        <v>60</v>
      </c>
      <c r="R406" t="n">
        <v>0.2126</v>
      </c>
      <c r="S406">
        <f>IMAGE("https://mitra.stanford.edu/kundaje/oak/projects/neuro-variants/variant_position/credible/roussos_2024/variant_figures/roussos_2024.childhood.Astrocyte/rs10883761_count_position.png",4,220,900)</f>
        <v/>
      </c>
      <c r="T406">
        <f>IMAGE("https://mitra.stanford.edu/kundaje/oak/projects/neuro-variants/variant_position/credible/roussos_2024/variant_figures/roussos_2024.childhood.Astrocyte/rs10883761_profile_position.png",4,220,900)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0.01625722508</v>
      </c>
      <c r="G407" t="n">
        <v>0.5719660830632042</v>
      </c>
      <c r="H407" t="n">
        <v>0.0102695317191977</v>
      </c>
      <c r="I407" t="n">
        <v>0.6944864166238716</v>
      </c>
      <c r="J407" t="n">
        <v>0.1509842534710295</v>
      </c>
      <c r="K407" t="n">
        <v>0.253014272338104</v>
      </c>
      <c r="L407" t="b">
        <v>0</v>
      </c>
      <c r="M407" t="b">
        <v>0</v>
      </c>
      <c r="N407" t="inlineStr">
        <is>
          <t>alt</t>
        </is>
      </c>
      <c r="O407" t="n">
        <v>95</v>
      </c>
      <c r="P407" t="n">
        <v>0.008385</v>
      </c>
      <c r="Q407" t="n">
        <v>10</v>
      </c>
      <c r="R407" t="n">
        <v>0.02</v>
      </c>
      <c r="S407">
        <f>IMAGE("https://mitra.stanford.edu/kundaje/oak/projects/neuro-variants/variant_position/credible/roussos_2024/variant_figures/roussos_2024.childhood.Astrocyte/rs884825_count_position.png",4,220,900)</f>
        <v/>
      </c>
      <c r="T407">
        <f>IMAGE("https://mitra.stanford.edu/kundaje/oak/projects/neuro-variants/variant_position/credible/roussos_2024/variant_figures/roussos_2024.childhood.Astrocyte/rs884825_profile_position.png",4,220,900)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0.081348848</v>
      </c>
      <c r="G408" t="n">
        <v>0.1005603090698599</v>
      </c>
      <c r="H408" t="n">
        <v>0.0431778670468171</v>
      </c>
      <c r="I408" t="n">
        <v>0.0070563706134103</v>
      </c>
      <c r="J408" t="n">
        <v>0.06536450581240021</v>
      </c>
      <c r="K408" t="n">
        <v>0.3996485338363819</v>
      </c>
      <c r="L408" t="b">
        <v>1</v>
      </c>
      <c r="M408" t="b">
        <v>1</v>
      </c>
      <c r="N408" t="inlineStr">
        <is>
          <t>alt</t>
        </is>
      </c>
      <c r="O408" t="n">
        <v>95</v>
      </c>
      <c r="P408" t="n">
        <v>0.01883</v>
      </c>
      <c r="Q408" t="n">
        <v>95</v>
      </c>
      <c r="R408" t="n">
        <v>0.0789</v>
      </c>
      <c r="S408">
        <f>IMAGE("https://mitra.stanford.edu/kundaje/oak/projects/neuro-variants/variant_position/credible/roussos_2024/variant_figures/roussos_2024.childhood.Astrocyte/rs4919669_count_position.png",4,220,900)</f>
        <v/>
      </c>
      <c r="T408">
        <f>IMAGE("https://mitra.stanford.edu/kundaje/oak/projects/neuro-variants/variant_position/credible/roussos_2024/variant_figures/roussos_2024.childhood.Astrocyte/rs4919669_profile_position.png",4,220,900)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-0.0207708526</v>
      </c>
      <c r="G409" t="n">
        <v>0.1666165277345054</v>
      </c>
      <c r="H409" t="n">
        <v>0.009549885624736</v>
      </c>
      <c r="I409" t="n">
        <v>0.7462025929561892</v>
      </c>
      <c r="J409" t="n">
        <v>0.6606710784425973</v>
      </c>
      <c r="K409" t="n">
        <v>0.0236692523403618</v>
      </c>
      <c r="L409" t="b">
        <v>0</v>
      </c>
      <c r="M409" t="b">
        <v>0</v>
      </c>
      <c r="N409" t="inlineStr">
        <is>
          <t>ref</t>
        </is>
      </c>
      <c r="O409" t="n">
        <v>65</v>
      </c>
      <c r="P409" t="n">
        <v>0.04398</v>
      </c>
      <c r="Q409" t="n">
        <v>65</v>
      </c>
      <c r="R409" t="n">
        <v>0.5977</v>
      </c>
      <c r="S409">
        <f>IMAGE("https://mitra.stanford.edu/kundaje/oak/projects/neuro-variants/variant_position/credible/roussos_2024/variant_figures/roussos_2024.childhood.Astrocyte/rs999867_count_position.png",4,220,900)</f>
        <v/>
      </c>
      <c r="T409">
        <f>IMAGE("https://mitra.stanford.edu/kundaje/oak/projects/neuro-variants/variant_position/credible/roussos_2024/variant_figures/roussos_2024.childhood.Astrocyte/rs999867_profile_position.png",4,220,900)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0.0366508364</v>
      </c>
      <c r="G410" t="n">
        <v>0.3111039140494646</v>
      </c>
      <c r="H410" t="n">
        <v>0.0511933695125503</v>
      </c>
      <c r="I410" t="n">
        <v>0.0037352240284531</v>
      </c>
      <c r="J410" t="n">
        <v>0.034617938677841</v>
      </c>
      <c r="K410" t="n">
        <v>0.5074280345486972</v>
      </c>
      <c r="L410" t="b">
        <v>1</v>
      </c>
      <c r="M410" t="b">
        <v>0</v>
      </c>
      <c r="N410" t="inlineStr">
        <is>
          <t>alt</t>
        </is>
      </c>
      <c r="O410" t="n">
        <v>90</v>
      </c>
      <c r="P410" t="n">
        <v>0.006226</v>
      </c>
      <c r="Q410" t="n">
        <v>90</v>
      </c>
      <c r="R410" t="n">
        <v>0.1711</v>
      </c>
      <c r="S410">
        <f>IMAGE("https://mitra.stanford.edu/kundaje/oak/projects/neuro-variants/variant_position/credible/roussos_2024/variant_figures/roussos_2024.childhood.Astrocyte/rs10786709_count_position.png",4,220,900)</f>
        <v/>
      </c>
      <c r="T410">
        <f>IMAGE("https://mitra.stanford.edu/kundaje/oak/projects/neuro-variants/variant_position/credible/roussos_2024/variant_figures/roussos_2024.childhood.Astrocyte/rs10786709_profile_position.png",4,220,900)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-0.01031082064</v>
      </c>
      <c r="G411" t="n">
        <v>0.7258316280249338</v>
      </c>
      <c r="H411" t="n">
        <v>0.0292626380698199</v>
      </c>
      <c r="I411" t="n">
        <v>0.0335656180726639</v>
      </c>
      <c r="J411" t="n">
        <v>0.0041476800012212</v>
      </c>
      <c r="K411" t="n">
        <v>0.793892329616816</v>
      </c>
      <c r="L411" t="b">
        <v>0</v>
      </c>
      <c r="M411" t="b">
        <v>0</v>
      </c>
      <c r="N411" t="inlineStr">
        <is>
          <t>ref</t>
        </is>
      </c>
      <c r="O411" t="n">
        <v>-70</v>
      </c>
      <c r="P411" t="n">
        <v>0.00702</v>
      </c>
      <c r="Q411" t="n">
        <v>-10</v>
      </c>
      <c r="R411" t="n">
        <v>0.02496</v>
      </c>
      <c r="S411">
        <f>IMAGE("https://mitra.stanford.edu/kundaje/oak/projects/neuro-variants/variant_position/credible/roussos_2024/variant_figures/roussos_2024.childhood.Astrocyte/rs4363528_count_position.png",4,220,900)</f>
        <v/>
      </c>
      <c r="T411">
        <f>IMAGE("https://mitra.stanford.edu/kundaje/oak/projects/neuro-variants/variant_position/credible/roussos_2024/variant_figures/roussos_2024.childhood.Astrocyte/rs4363528_profile_position.png",4,220,900)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0.0447288062</v>
      </c>
      <c r="G412" t="n">
        <v>0.2613188262880175</v>
      </c>
      <c r="H412" t="n">
        <v>0.0114831594401819</v>
      </c>
      <c r="I412" t="n">
        <v>0.5479570582616028</v>
      </c>
      <c r="J412" t="n">
        <v>0.0025959255951699</v>
      </c>
      <c r="K412" t="n">
        <v>0.8387106619985694</v>
      </c>
      <c r="L412" t="b">
        <v>0</v>
      </c>
      <c r="M412" t="b">
        <v>0</v>
      </c>
      <c r="N412" t="inlineStr">
        <is>
          <t>alt</t>
        </is>
      </c>
      <c r="O412" t="n">
        <v>50</v>
      </c>
      <c r="P412" t="n">
        <v>0.001106</v>
      </c>
      <c r="Q412" t="n">
        <v>95</v>
      </c>
      <c r="R412" t="n">
        <v>0.1045</v>
      </c>
      <c r="S412">
        <f>IMAGE("https://mitra.stanford.edu/kundaje/oak/projects/neuro-variants/variant_position/credible/roussos_2024/variant_figures/roussos_2024.childhood.Astrocyte/rs11191453_count_position.png",4,220,900)</f>
        <v/>
      </c>
      <c r="T412">
        <f>IMAGE("https://mitra.stanford.edu/kundaje/oak/projects/neuro-variants/variant_position/credible/roussos_2024/variant_figures/roussos_2024.childhood.Astrocyte/rs11191453_profile_position.png",4,220,900)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0.1248065048</v>
      </c>
      <c r="G413" t="n">
        <v>0.0566921843837224</v>
      </c>
      <c r="H413" t="n">
        <v>0.0376764522864039</v>
      </c>
      <c r="I413" t="n">
        <v>0.0177243828402587</v>
      </c>
      <c r="J413" t="n">
        <v>0.0221810049384411</v>
      </c>
      <c r="K413" t="n">
        <v>0.5845418496077104</v>
      </c>
      <c r="L413" t="b">
        <v>1</v>
      </c>
      <c r="M413" t="b">
        <v>0</v>
      </c>
      <c r="N413" t="inlineStr">
        <is>
          <t>alt</t>
        </is>
      </c>
      <c r="O413" t="n">
        <v>50</v>
      </c>
      <c r="P413" t="n">
        <v>0.01286</v>
      </c>
      <c r="Q413" t="n">
        <v>-100</v>
      </c>
      <c r="R413" t="n">
        <v>0.1455</v>
      </c>
      <c r="S413">
        <f>IMAGE("https://mitra.stanford.edu/kundaje/oak/projects/neuro-variants/variant_position/credible/roussos_2024/variant_figures/roussos_2024.childhood.Astrocyte/rs10883799_count_position.png",4,220,900)</f>
        <v/>
      </c>
      <c r="T413">
        <f>IMAGE("https://mitra.stanford.edu/kundaje/oak/projects/neuro-variants/variant_position/credible/roussos_2024/variant_figures/roussos_2024.childhood.Astrocyte/rs10883799_profile_position.png",4,220,900)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0.00423720638</v>
      </c>
      <c r="G414" t="n">
        <v>0.6646871836964386</v>
      </c>
      <c r="H414" t="n">
        <v>0.0088206592193723</v>
      </c>
      <c r="I414" t="n">
        <v>0.7935372860824533</v>
      </c>
      <c r="J414" t="n">
        <v>0.0021196369825894</v>
      </c>
      <c r="K414" t="n">
        <v>0.8596478222679066</v>
      </c>
      <c r="L414" t="b">
        <v>0</v>
      </c>
      <c r="M414" t="b">
        <v>0</v>
      </c>
      <c r="N414" t="inlineStr">
        <is>
          <t>alt</t>
        </is>
      </c>
      <c r="O414" t="n">
        <v>-70</v>
      </c>
      <c r="P414" t="n">
        <v>0.02136</v>
      </c>
      <c r="Q414" t="n">
        <v>100</v>
      </c>
      <c r="R414" t="n">
        <v>0.1543</v>
      </c>
      <c r="S414">
        <f>IMAGE("https://mitra.stanford.edu/kundaje/oak/projects/neuro-variants/variant_position/credible/roussos_2024/variant_figures/roussos_2024.childhood.Astrocyte/rs112699822_count_position.png",4,220,900)</f>
        <v/>
      </c>
      <c r="T414">
        <f>IMAGE("https://mitra.stanford.edu/kundaje/oak/projects/neuro-variants/variant_position/credible/roussos_2024/variant_figures/roussos_2024.childhood.Astrocyte/rs112699822_profile_position.png",4,220,900)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0.0693159112</v>
      </c>
      <c r="G415" t="n">
        <v>0.1348788287398798</v>
      </c>
      <c r="H415" t="n">
        <v>0.0280117801082081</v>
      </c>
      <c r="I415" t="n">
        <v>0.0401958814922515</v>
      </c>
      <c r="J415" t="n">
        <v>0.0148458549914893</v>
      </c>
      <c r="K415" t="n">
        <v>0.6366025983969774</v>
      </c>
      <c r="L415" t="b">
        <v>0</v>
      </c>
      <c r="M415" t="b">
        <v>0</v>
      </c>
      <c r="N415" t="inlineStr">
        <is>
          <t>alt</t>
        </is>
      </c>
      <c r="O415" t="n">
        <v>70</v>
      </c>
      <c r="P415" t="n">
        <v>0.0195</v>
      </c>
      <c r="Q415" t="n">
        <v>-45</v>
      </c>
      <c r="R415" t="n">
        <v>0.08450000000000001</v>
      </c>
      <c r="S415">
        <f>IMAGE("https://mitra.stanford.edu/kundaje/oak/projects/neuro-variants/variant_position/credible/roussos_2024/variant_figures/roussos_2024.childhood.Astrocyte/rs11191472_count_position.png",4,220,900)</f>
        <v/>
      </c>
      <c r="T415">
        <f>IMAGE("https://mitra.stanford.edu/kundaje/oak/projects/neuro-variants/variant_position/credible/roussos_2024/variant_figures/roussos_2024.childhood.Astrocyte/rs11191472_profile_position.png",4,220,900)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0.0510450776</v>
      </c>
      <c r="G416" t="n">
        <v>0.2101888889540074</v>
      </c>
      <c r="H416" t="n">
        <v>0.0123403652404163</v>
      </c>
      <c r="I416" t="n">
        <v>0.4755411244084394</v>
      </c>
      <c r="J416" t="n">
        <v>0.0042713318525642</v>
      </c>
      <c r="K416" t="n">
        <v>0.7924008644673931</v>
      </c>
      <c r="L416" t="b">
        <v>0</v>
      </c>
      <c r="M416" t="b">
        <v>0</v>
      </c>
      <c r="N416" t="inlineStr">
        <is>
          <t>alt</t>
        </is>
      </c>
      <c r="O416" t="n">
        <v>-50</v>
      </c>
      <c r="P416" t="n">
        <v>0.00586</v>
      </c>
      <c r="Q416" t="n">
        <v>-30</v>
      </c>
      <c r="R416" t="n">
        <v>0.01466</v>
      </c>
      <c r="S416">
        <f>IMAGE("https://mitra.stanford.edu/kundaje/oak/projects/neuro-variants/variant_position/credible/roussos_2024/variant_figures/roussos_2024.childhood.Astrocyte/rs3902934_count_position.png",4,220,900)</f>
        <v/>
      </c>
      <c r="T416">
        <f>IMAGE("https://mitra.stanford.edu/kundaje/oak/projects/neuro-variants/variant_position/credible/roussos_2024/variant_figures/roussos_2024.childhood.Astrocyte/rs3902934_profile_position.png",4,220,900)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0.0205358308999999</v>
      </c>
      <c r="G417" t="n">
        <v>0.451675837021329</v>
      </c>
      <c r="H417" t="n">
        <v>0.0099312639403601</v>
      </c>
      <c r="I417" t="n">
        <v>0.7233791109172919</v>
      </c>
      <c r="J417" t="n">
        <v>0.0374695640890598</v>
      </c>
      <c r="K417" t="n">
        <v>0.4955192793196806</v>
      </c>
      <c r="L417" t="b">
        <v>0</v>
      </c>
      <c r="M417" t="b">
        <v>0</v>
      </c>
      <c r="N417" t="inlineStr">
        <is>
          <t>alt</t>
        </is>
      </c>
      <c r="O417" t="n">
        <v>95</v>
      </c>
      <c r="P417" t="n">
        <v>0.004272</v>
      </c>
      <c r="Q417" t="n">
        <v>100</v>
      </c>
      <c r="R417" t="n">
        <v>0.1294</v>
      </c>
      <c r="S417">
        <f>IMAGE("https://mitra.stanford.edu/kundaje/oak/projects/neuro-variants/variant_position/credible/roussos_2024/variant_figures/roussos_2024.childhood.Astrocyte/rs1890184_count_position.png",4,220,900)</f>
        <v/>
      </c>
      <c r="T417">
        <f>IMAGE("https://mitra.stanford.edu/kundaje/oak/projects/neuro-variants/variant_position/credible/roussos_2024/variant_figures/roussos_2024.childhood.Astrocyte/rs1890184_profile_position.png",4,220,900)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-0.009883632579999999</v>
      </c>
      <c r="G418" t="n">
        <v>0.7451643828300699</v>
      </c>
      <c r="H418" t="n">
        <v>0.0339663986148674</v>
      </c>
      <c r="I418" t="n">
        <v>0.0181482276231086</v>
      </c>
      <c r="J418" t="n">
        <v>0.0016998313144496</v>
      </c>
      <c r="K418" t="n">
        <v>0.8671469806994445</v>
      </c>
      <c r="L418" t="b">
        <v>0</v>
      </c>
      <c r="M418" t="b">
        <v>0</v>
      </c>
      <c r="N418" t="inlineStr">
        <is>
          <t>ref</t>
        </is>
      </c>
      <c r="O418" t="n">
        <v>-65</v>
      </c>
      <c r="P418" t="n">
        <v>0.00406</v>
      </c>
      <c r="Q418" t="n">
        <v>85</v>
      </c>
      <c r="R418" t="n">
        <v>0.1207</v>
      </c>
      <c r="S418">
        <f>IMAGE("https://mitra.stanford.edu/kundaje/oak/projects/neuro-variants/variant_position/credible/roussos_2024/variant_figures/roussos_2024.childhood.Astrocyte/rs11191511_count_position.png",4,220,900)</f>
        <v/>
      </c>
      <c r="T418">
        <f>IMAGE("https://mitra.stanford.edu/kundaje/oak/projects/neuro-variants/variant_position/credible/roussos_2024/variant_figures/roussos_2024.childhood.Astrocyte/rs11191511_profile_position.png",4,220,900)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-0.0977356122</v>
      </c>
      <c r="G419" t="n">
        <v>0.1059141060448513</v>
      </c>
      <c r="H419" t="n">
        <v>0.0135694350980693</v>
      </c>
      <c r="I419" t="n">
        <v>0.387646541194273</v>
      </c>
      <c r="J419" t="n">
        <v>0.1874203323334325</v>
      </c>
      <c r="K419" t="n">
        <v>0.2121926389261291</v>
      </c>
      <c r="L419" t="b">
        <v>0</v>
      </c>
      <c r="M419" t="b">
        <v>0</v>
      </c>
      <c r="N419" t="inlineStr">
        <is>
          <t>ref</t>
        </is>
      </c>
      <c r="O419" t="n">
        <v>10</v>
      </c>
      <c r="P419" t="n">
        <v>0.003204</v>
      </c>
      <c r="Q419" t="n">
        <v>95</v>
      </c>
      <c r="R419" t="n">
        <v>0.1494</v>
      </c>
      <c r="S419">
        <f>IMAGE("https://mitra.stanford.edu/kundaje/oak/projects/neuro-variants/variant_position/credible/roussos_2024/variant_figures/roussos_2024.childhood.Astrocyte/rs11191514_count_position.png",4,220,900)</f>
        <v/>
      </c>
      <c r="T419">
        <f>IMAGE("https://mitra.stanford.edu/kundaje/oak/projects/neuro-variants/variant_position/credible/roussos_2024/variant_figures/roussos_2024.childhood.Astrocyte/rs11191514_profile_position.png",4,220,900)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-0.0467337947999999</v>
      </c>
      <c r="G420" t="n">
        <v>0.2481561035051925</v>
      </c>
      <c r="H420" t="n">
        <v>0.0112037996812305</v>
      </c>
      <c r="I420" t="n">
        <v>0.5975189779034322</v>
      </c>
      <c r="J420" t="n">
        <v>0.4196278231931182</v>
      </c>
      <c r="K420" t="n">
        <v>0.0797349608277152</v>
      </c>
      <c r="L420" t="b">
        <v>0</v>
      </c>
      <c r="M420" t="b">
        <v>0</v>
      </c>
      <c r="N420" t="inlineStr">
        <is>
          <t>ref</t>
        </is>
      </c>
      <c r="O420" t="n">
        <v>100</v>
      </c>
      <c r="P420" t="n">
        <v>0.0742</v>
      </c>
      <c r="Q420" t="n">
        <v>100</v>
      </c>
      <c r="R420" t="n">
        <v>0.1377</v>
      </c>
      <c r="S420">
        <f>IMAGE("https://mitra.stanford.edu/kundaje/oak/projects/neuro-variants/variant_position/credible/roussos_2024/variant_figures/roussos_2024.childhood.Astrocyte/rs1926032_count_position.png",4,220,900)</f>
        <v/>
      </c>
      <c r="T420">
        <f>IMAGE("https://mitra.stanford.edu/kundaje/oak/projects/neuro-variants/variant_position/credible/roussos_2024/variant_figures/roussos_2024.childhood.Astrocyte/rs1926032_profile_position.png",4,220,900)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0.0096676215799999</v>
      </c>
      <c r="G421" t="n">
        <v>0.713096745398894</v>
      </c>
      <c r="H421" t="n">
        <v>0.008244589024331001</v>
      </c>
      <c r="I421" t="n">
        <v>0.8785081163569365</v>
      </c>
      <c r="J421" t="n">
        <v>0.0014853487821818</v>
      </c>
      <c r="K421" t="n">
        <v>0.8805278840993037</v>
      </c>
      <c r="L421" t="b">
        <v>0</v>
      </c>
      <c r="M421" t="b">
        <v>0</v>
      </c>
      <c r="N421" t="inlineStr">
        <is>
          <t>alt</t>
        </is>
      </c>
      <c r="O421" t="n">
        <v>-15</v>
      </c>
      <c r="P421" t="n">
        <v>0.003769</v>
      </c>
      <c r="Q421" t="n">
        <v>25</v>
      </c>
      <c r="R421" t="n">
        <v>0.01141</v>
      </c>
      <c r="S421">
        <f>IMAGE("https://mitra.stanford.edu/kundaje/oak/projects/neuro-variants/variant_position/credible/roussos_2024/variant_figures/roussos_2024.childhood.Astrocyte/rs9633712_count_position.png",4,220,900)</f>
        <v/>
      </c>
      <c r="T421">
        <f>IMAGE("https://mitra.stanford.edu/kundaje/oak/projects/neuro-variants/variant_position/credible/roussos_2024/variant_figures/roussos_2024.childhood.Astrocyte/rs9633712_profile_position.png",4,220,900)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-0.047224238</v>
      </c>
      <c r="G422" t="n">
        <v>0.2407085627262029</v>
      </c>
      <c r="H422" t="n">
        <v>0.0138058230772492</v>
      </c>
      <c r="I422" t="n">
        <v>0.3639024627916933</v>
      </c>
      <c r="J422" t="n">
        <v>0.3194400555670048</v>
      </c>
      <c r="K422" t="n">
        <v>0.121557166539467</v>
      </c>
      <c r="L422" t="b">
        <v>0</v>
      </c>
      <c r="M422" t="b">
        <v>0</v>
      </c>
      <c r="N422" t="inlineStr">
        <is>
          <t>ref</t>
        </is>
      </c>
      <c r="O422" t="n">
        <v>-100</v>
      </c>
      <c r="P422" t="n">
        <v>0.0153</v>
      </c>
      <c r="Q422" t="n">
        <v>-100</v>
      </c>
      <c r="R422" t="n">
        <v>0.2764</v>
      </c>
      <c r="S422">
        <f>IMAGE("https://mitra.stanford.edu/kundaje/oak/projects/neuro-variants/variant_position/credible/roussos_2024/variant_figures/roussos_2024.childhood.Astrocyte/rs11191582_count_position.png",4,220,900)</f>
        <v/>
      </c>
      <c r="T422">
        <f>IMAGE("https://mitra.stanford.edu/kundaje/oak/projects/neuro-variants/variant_position/credible/roussos_2024/variant_figures/roussos_2024.childhood.Astrocyte/rs11191582_profile_position.png",4,220,900)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-0.0081753282</v>
      </c>
      <c r="G423" t="n">
        <v>0.7741531906329282</v>
      </c>
      <c r="H423" t="n">
        <v>0.027336763944598</v>
      </c>
      <c r="I423" t="n">
        <v>0.0420250069114428</v>
      </c>
      <c r="J423" t="n">
        <v>0.0728523123659483</v>
      </c>
      <c r="K423" t="n">
        <v>0.3793549509444058</v>
      </c>
      <c r="L423" t="b">
        <v>0</v>
      </c>
      <c r="M423" t="b">
        <v>0</v>
      </c>
      <c r="N423" t="inlineStr">
        <is>
          <t>ref</t>
        </is>
      </c>
      <c r="O423" t="n">
        <v>-100</v>
      </c>
      <c r="P423" t="n">
        <v>0.004883</v>
      </c>
      <c r="Q423" t="n">
        <v>65</v>
      </c>
      <c r="R423" t="n">
        <v>0.1455</v>
      </c>
      <c r="S423">
        <f>IMAGE("https://mitra.stanford.edu/kundaje/oak/projects/neuro-variants/variant_position/credible/roussos_2024/variant_figures/roussos_2024.childhood.Astrocyte/rs12414028_count_position.png",4,220,900)</f>
        <v/>
      </c>
      <c r="T423">
        <f>IMAGE("https://mitra.stanford.edu/kundaje/oak/projects/neuro-variants/variant_position/credible/roussos_2024/variant_figures/roussos_2024.childhood.Astrocyte/rs12414028_profile_position.png",4,220,900)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-0.02433278672</v>
      </c>
      <c r="G424" t="n">
        <v>0.4848025268296274</v>
      </c>
      <c r="H424" t="n">
        <v>0.0185614733768711</v>
      </c>
      <c r="I424" t="n">
        <v>0.1591627863622846</v>
      </c>
      <c r="J424" t="n">
        <v>0.0846580110370726</v>
      </c>
      <c r="K424" t="n">
        <v>0.3545114114306393</v>
      </c>
      <c r="L424" t="b">
        <v>0</v>
      </c>
      <c r="M424" t="b">
        <v>0</v>
      </c>
      <c r="N424" t="inlineStr">
        <is>
          <t>ref</t>
        </is>
      </c>
      <c r="O424" t="n">
        <v>-65</v>
      </c>
      <c r="P424" t="n">
        <v>0.02441</v>
      </c>
      <c r="Q424" t="n">
        <v>-65</v>
      </c>
      <c r="R424" t="n">
        <v>0.2727</v>
      </c>
      <c r="S424">
        <f>IMAGE("https://mitra.stanford.edu/kundaje/oak/projects/neuro-variants/variant_position/credible/roussos_2024/variant_figures/roussos_2024.childhood.Astrocyte/rs1490183_count_position.png",4,220,900)</f>
        <v/>
      </c>
      <c r="T424">
        <f>IMAGE("https://mitra.stanford.edu/kundaje/oak/projects/neuro-variants/variant_position/credible/roussos_2024/variant_figures/roussos_2024.childhood.Astrocyte/rs1490183_profile_position.png",4,220,900)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0.00052796116</v>
      </c>
      <c r="G425" t="n">
        <v>0.801603861732871</v>
      </c>
      <c r="H425" t="n">
        <v>0.0075642820744868</v>
      </c>
      <c r="I425" t="n">
        <v>0.9283503130236428</v>
      </c>
      <c r="J425" t="n">
        <v>0.086531870883042</v>
      </c>
      <c r="K425" t="n">
        <v>0.3666081042631987</v>
      </c>
      <c r="L425" t="b">
        <v>0</v>
      </c>
      <c r="M425" t="b">
        <v>0</v>
      </c>
      <c r="N425" t="inlineStr">
        <is>
          <t>alt</t>
        </is>
      </c>
      <c r="O425" t="n">
        <v>50</v>
      </c>
      <c r="P425" t="n">
        <v>0.002558</v>
      </c>
      <c r="Q425" t="n">
        <v>-90</v>
      </c>
      <c r="R425" t="n">
        <v>0.2876</v>
      </c>
      <c r="S425">
        <f>IMAGE("https://mitra.stanford.edu/kundaje/oak/projects/neuro-variants/variant_position/credible/roussos_2024/variant_figures/roussos_2024.childhood.Astrocyte/rs2491368_count_position.png",4,220,900)</f>
        <v/>
      </c>
      <c r="T425">
        <f>IMAGE("https://mitra.stanford.edu/kundaje/oak/projects/neuro-variants/variant_position/credible/roussos_2024/variant_figures/roussos_2024.childhood.Astrocyte/rs2491368_profile_position.png",4,220,900)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0.2001673664</v>
      </c>
      <c r="G426" t="n">
        <v>0.0241965741564456</v>
      </c>
      <c r="H426" t="n">
        <v>0.0213518825280864</v>
      </c>
      <c r="I426" t="n">
        <v>0.1062041502912978</v>
      </c>
      <c r="J426" t="n">
        <v>0.4639157946158015</v>
      </c>
      <c r="K426" t="n">
        <v>0.06513540130082671</v>
      </c>
      <c r="L426" t="b">
        <v>0</v>
      </c>
      <c r="M426" t="b">
        <v>0</v>
      </c>
      <c r="N426" t="inlineStr">
        <is>
          <t>alt</t>
        </is>
      </c>
      <c r="O426" t="n">
        <v>-75</v>
      </c>
      <c r="P426" t="n">
        <v>0.005737</v>
      </c>
      <c r="Q426" t="n">
        <v>-90</v>
      </c>
      <c r="R426" t="n">
        <v>0.10254</v>
      </c>
      <c r="S426">
        <f>IMAGE("https://mitra.stanford.edu/kundaje/oak/projects/neuro-variants/variant_position/credible/roussos_2024/variant_figures/roussos_2024.childhood.Astrocyte/rs12250380_count_position.png",4,220,900)</f>
        <v/>
      </c>
      <c r="T426">
        <f>IMAGE("https://mitra.stanford.edu/kundaje/oak/projects/neuro-variants/variant_position/credible/roussos_2024/variant_figures/roussos_2024.childhood.Astrocyte/rs12250380_profile_position.png",4,220,900)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-0.009025675780000001</v>
      </c>
      <c r="G427" t="n">
        <v>0.6393797648019824</v>
      </c>
      <c r="H427" t="n">
        <v>0.0405608979719099</v>
      </c>
      <c r="I427" t="n">
        <v>0.009361912414755799</v>
      </c>
      <c r="J427" t="n">
        <v>0.0202804301863173</v>
      </c>
      <c r="K427" t="n">
        <v>0.594728934892209</v>
      </c>
      <c r="L427" t="b">
        <v>1</v>
      </c>
      <c r="M427" t="b">
        <v>0</v>
      </c>
      <c r="N427" t="inlineStr">
        <is>
          <t>ref</t>
        </is>
      </c>
      <c r="O427" t="n">
        <v>60</v>
      </c>
      <c r="P427" t="n">
        <v>0.007248</v>
      </c>
      <c r="Q427" t="n">
        <v>100</v>
      </c>
      <c r="R427" t="n">
        <v>0.2277</v>
      </c>
      <c r="S427">
        <f>IMAGE("https://mitra.stanford.edu/kundaje/oak/projects/neuro-variants/variant_position/credible/roussos_2024/variant_figures/roussos_2024.childhood.Astrocyte/rs1021363_count_position.png",4,220,900)</f>
        <v/>
      </c>
      <c r="T427">
        <f>IMAGE("https://mitra.stanford.edu/kundaje/oak/projects/neuro-variants/variant_position/credible/roussos_2024/variant_figures/roussos_2024.childhood.Astrocyte/rs1021363_profile_position.png",4,220,900)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-0.0949181696</v>
      </c>
      <c r="G428" t="n">
        <v>0.0805283799722962</v>
      </c>
      <c r="H428" t="n">
        <v>0.0211837425202744</v>
      </c>
      <c r="I428" t="n">
        <v>0.1132007302978416</v>
      </c>
      <c r="J428" t="n">
        <v>0.176119163747109</v>
      </c>
      <c r="K428" t="n">
        <v>0.2257555719450484</v>
      </c>
      <c r="L428" t="b">
        <v>0</v>
      </c>
      <c r="M428" t="b">
        <v>0</v>
      </c>
      <c r="N428" t="inlineStr">
        <is>
          <t>ref</t>
        </is>
      </c>
      <c r="O428" t="n">
        <v>20</v>
      </c>
      <c r="P428" t="n">
        <v>0.004585</v>
      </c>
      <c r="Q428" t="n">
        <v>90</v>
      </c>
      <c r="R428" t="n">
        <v>0.1567</v>
      </c>
      <c r="S428">
        <f>IMAGE("https://mitra.stanford.edu/kundaje/oak/projects/neuro-variants/variant_position/credible/roussos_2024/variant_figures/roussos_2024.childhood.Astrocyte/rs2451497_count_position.png",4,220,900)</f>
        <v/>
      </c>
      <c r="T428">
        <f>IMAGE("https://mitra.stanford.edu/kundaje/oak/projects/neuro-variants/variant_position/credible/roussos_2024/variant_figures/roussos_2024.childhood.Astrocyte/rs2451497_profile_position.png",4,220,900)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-0.0219989759999999</v>
      </c>
      <c r="G429" t="n">
        <v>0.4945027551598884</v>
      </c>
      <c r="H429" t="n">
        <v>0.0291947318085447</v>
      </c>
      <c r="I429" t="n">
        <v>0.0333409590084831</v>
      </c>
      <c r="J429" t="n">
        <v>0.0025150175936738</v>
      </c>
      <c r="K429" t="n">
        <v>0.8378613669463674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0.0437</v>
      </c>
      <c r="Q429" t="n">
        <v>-100</v>
      </c>
      <c r="R429" t="n">
        <v>0.1382</v>
      </c>
      <c r="S429">
        <f>IMAGE("https://mitra.stanford.edu/kundaje/oak/projects/neuro-variants/variant_position/credible/roussos_2024/variant_figures/roussos_2024.childhood.Astrocyte/rs2932558_count_position.png",4,220,900)</f>
        <v/>
      </c>
      <c r="T429">
        <f>IMAGE("https://mitra.stanford.edu/kundaje/oak/projects/neuro-variants/variant_position/credible/roussos_2024/variant_figures/roussos_2024.childhood.Astrocyte/rs2932558_profile_position.png",4,220,900)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0.109797681</v>
      </c>
      <c r="G430" t="n">
        <v>0.0500134988593496</v>
      </c>
      <c r="H430" t="n">
        <v>0.0256297399907575</v>
      </c>
      <c r="I430" t="n">
        <v>0.0549718091038354</v>
      </c>
      <c r="J430" t="n">
        <v>0.0507316067871126</v>
      </c>
      <c r="K430" t="n">
        <v>0.451410162124297</v>
      </c>
      <c r="L430" t="b">
        <v>0</v>
      </c>
      <c r="M430" t="b">
        <v>0</v>
      </c>
      <c r="N430" t="inlineStr">
        <is>
          <t>alt</t>
        </is>
      </c>
      <c r="O430" t="n">
        <v>-55</v>
      </c>
      <c r="P430" t="n">
        <v>0.01141</v>
      </c>
      <c r="Q430" t="n">
        <v>-30</v>
      </c>
      <c r="R430" t="n">
        <v>0.08373999999999999</v>
      </c>
      <c r="S430">
        <f>IMAGE("https://mitra.stanford.edu/kundaje/oak/projects/neuro-variants/variant_position/credible/roussos_2024/variant_figures/roussos_2024.childhood.Astrocyte/rs2932559_count_position.png",4,220,900)</f>
        <v/>
      </c>
      <c r="T430">
        <f>IMAGE("https://mitra.stanford.edu/kundaje/oak/projects/neuro-variants/variant_position/credible/roussos_2024/variant_figures/roussos_2024.childhood.Astrocyte/rs2932559_profile_position.png",4,220,900)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0.0272712874</v>
      </c>
      <c r="G431" t="n">
        <v>0.3804118163523203</v>
      </c>
      <c r="H431" t="n">
        <v>0.0323058676465983</v>
      </c>
      <c r="I431" t="n">
        <v>0.0230264870193066</v>
      </c>
      <c r="J431" t="n">
        <v>0.0040751681130879</v>
      </c>
      <c r="K431" t="n">
        <v>0.8031887353981338</v>
      </c>
      <c r="L431" t="b">
        <v>0</v>
      </c>
      <c r="M431" t="b">
        <v>0</v>
      </c>
      <c r="N431" t="inlineStr">
        <is>
          <t>alt</t>
        </is>
      </c>
      <c r="O431" t="n">
        <v>-60</v>
      </c>
      <c r="P431" t="n">
        <v>0.01831</v>
      </c>
      <c r="Q431" t="n">
        <v>-60</v>
      </c>
      <c r="R431" t="n">
        <v>0.07190000000000001</v>
      </c>
      <c r="S431">
        <f>IMAGE("https://mitra.stanford.edu/kundaje/oak/projects/neuro-variants/variant_position/credible/roussos_2024/variant_figures/roussos_2024.childhood.Astrocyte/rs7073961_count_position.png",4,220,900)</f>
        <v/>
      </c>
      <c r="T431">
        <f>IMAGE("https://mitra.stanford.edu/kundaje/oak/projects/neuro-variants/variant_position/credible/roussos_2024/variant_figures/roussos_2024.childhood.Astrocyte/rs7073961_profile_position.png",4,220,900)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-0.02506131944</v>
      </c>
      <c r="G432" t="n">
        <v>0.4725875230873457</v>
      </c>
      <c r="H432" t="n">
        <v>0.0261796461521415</v>
      </c>
      <c r="I432" t="n">
        <v>0.0504675067499717</v>
      </c>
      <c r="J432" t="n">
        <v>0.0217398273453779</v>
      </c>
      <c r="K432" t="n">
        <v>0.588125349744488</v>
      </c>
      <c r="L432" t="b">
        <v>0</v>
      </c>
      <c r="M432" t="b">
        <v>0</v>
      </c>
      <c r="N432" t="inlineStr">
        <is>
          <t>ref</t>
        </is>
      </c>
      <c r="O432" t="n">
        <v>100</v>
      </c>
      <c r="P432" t="n">
        <v>0.005737</v>
      </c>
      <c r="Q432" t="n">
        <v>-50</v>
      </c>
      <c r="R432" t="n">
        <v>0.0409</v>
      </c>
      <c r="S432">
        <f>IMAGE("https://mitra.stanford.edu/kundaje/oak/projects/neuro-variants/variant_position/credible/roussos_2024/variant_figures/roussos_2024.childhood.Astrocyte/rs6585767_count_position.png",4,220,900)</f>
        <v/>
      </c>
      <c r="T432">
        <f>IMAGE("https://mitra.stanford.edu/kundaje/oak/projects/neuro-variants/variant_position/credible/roussos_2024/variant_figures/roussos_2024.childhood.Astrocyte/rs6585767_profile_position.png",4,220,900)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0.0461412564</v>
      </c>
      <c r="G433" t="n">
        <v>0.2339877232128507</v>
      </c>
      <c r="H433" t="n">
        <v>0.0141121343751446</v>
      </c>
      <c r="I433" t="n">
        <v>0.3468287727867857</v>
      </c>
      <c r="J433" t="n">
        <v>0.0008800653370275</v>
      </c>
      <c r="K433" t="n">
        <v>0.9115869144600038</v>
      </c>
      <c r="L433" t="b">
        <v>0</v>
      </c>
      <c r="M433" t="b">
        <v>0</v>
      </c>
      <c r="N433" t="inlineStr">
        <is>
          <t>alt</t>
        </is>
      </c>
      <c r="O433" t="n">
        <v>-30</v>
      </c>
      <c r="P433" t="n">
        <v>0.01161</v>
      </c>
      <c r="Q433" t="n">
        <v>-100</v>
      </c>
      <c r="R433" t="n">
        <v>0.1376</v>
      </c>
      <c r="S433">
        <f>IMAGE("https://mitra.stanford.edu/kundaje/oak/projects/neuro-variants/variant_position/credible/roussos_2024/variant_figures/roussos_2024.childhood.Astrocyte/rs12415401_count_position.png",4,220,900)</f>
        <v/>
      </c>
      <c r="T433">
        <f>IMAGE("https://mitra.stanford.edu/kundaje/oak/projects/neuro-variants/variant_position/credible/roussos_2024/variant_figures/roussos_2024.childhood.Astrocyte/rs12415401_profile_position.png",4,220,900)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0.08740652</v>
      </c>
      <c r="G434" t="n">
        <v>0.0917345880503052</v>
      </c>
      <c r="H434" t="n">
        <v>0.0146053987758156</v>
      </c>
      <c r="I434" t="n">
        <v>0.3258281460927345</v>
      </c>
      <c r="J434" t="n">
        <v>0.0371215070260202</v>
      </c>
      <c r="K434" t="n">
        <v>0.4987950089820959</v>
      </c>
      <c r="L434" t="b">
        <v>0</v>
      </c>
      <c r="M434" t="b">
        <v>0</v>
      </c>
      <c r="N434" t="inlineStr">
        <is>
          <t>alt</t>
        </is>
      </c>
      <c r="O434" t="n">
        <v>-45</v>
      </c>
      <c r="P434" t="n">
        <v>0.00261</v>
      </c>
      <c r="Q434" t="n">
        <v>-10</v>
      </c>
      <c r="R434" t="n">
        <v>0.03912</v>
      </c>
      <c r="S434">
        <f>IMAGE("https://mitra.stanford.edu/kundaje/oak/projects/neuro-variants/variant_position/credible/roussos_2024/variant_figures/roussos_2024.childhood.Astrocyte/rs7095093_count_position.png",4,220,900)</f>
        <v/>
      </c>
      <c r="T434">
        <f>IMAGE("https://mitra.stanford.edu/kundaje/oak/projects/neuro-variants/variant_position/credible/roussos_2024/variant_figures/roussos_2024.childhood.Astrocyte/rs7095093_profile_position.png",4,220,900)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0.01061213996</v>
      </c>
      <c r="G435" t="n">
        <v>0.7025690598467753</v>
      </c>
      <c r="H435" t="n">
        <v>0.0288233512194603</v>
      </c>
      <c r="I435" t="n">
        <v>0.035294222406061</v>
      </c>
      <c r="J435" t="n">
        <v>0.0077175547464754</v>
      </c>
      <c r="K435" t="n">
        <v>0.7176453760482733</v>
      </c>
      <c r="L435" t="b">
        <v>0</v>
      </c>
      <c r="M435" t="b">
        <v>0</v>
      </c>
      <c r="N435" t="inlineStr">
        <is>
          <t>alt</t>
        </is>
      </c>
      <c r="O435" t="n">
        <v>30</v>
      </c>
      <c r="P435" t="n">
        <v>0.004272</v>
      </c>
      <c r="Q435" t="n">
        <v>-75</v>
      </c>
      <c r="R435" t="n">
        <v>0.0838</v>
      </c>
      <c r="S435">
        <f>IMAGE("https://mitra.stanford.edu/kundaje/oak/projects/neuro-variants/variant_position/credible/roussos_2024/variant_figures/roussos_2024.childhood.Astrocyte/rs7923863_count_position.png",4,220,900)</f>
        <v/>
      </c>
      <c r="T435">
        <f>IMAGE("https://mitra.stanford.edu/kundaje/oak/projects/neuro-variants/variant_position/credible/roussos_2024/variant_figures/roussos_2024.childhood.Astrocyte/rs7923863_profile_position.png",4,220,900)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0.009499717939999999</v>
      </c>
      <c r="G436" t="n">
        <v>0.7395960927240302</v>
      </c>
      <c r="H436" t="n">
        <v>0.0067595632487411</v>
      </c>
      <c r="I436" t="n">
        <v>0.9709375705238172</v>
      </c>
      <c r="J436" t="n">
        <v>0.0145787059299458</v>
      </c>
      <c r="K436" t="n">
        <v>0.6361204746235373</v>
      </c>
      <c r="L436" t="b">
        <v>0</v>
      </c>
      <c r="M436" t="b">
        <v>0</v>
      </c>
      <c r="N436" t="inlineStr">
        <is>
          <t>alt</t>
        </is>
      </c>
      <c r="O436" t="n">
        <v>40</v>
      </c>
      <c r="P436" t="n">
        <v>0.00643</v>
      </c>
      <c r="Q436" t="n">
        <v>5</v>
      </c>
      <c r="R436" t="n">
        <v>0.0004883</v>
      </c>
      <c r="S436">
        <f>IMAGE("https://mitra.stanford.edu/kundaje/oak/projects/neuro-variants/variant_position/credible/roussos_2024/variant_figures/roussos_2024.childhood.Astrocyte/rs72839625_count_position.png",4,220,900)</f>
        <v/>
      </c>
      <c r="T436">
        <f>IMAGE("https://mitra.stanford.edu/kundaje/oak/projects/neuro-variants/variant_position/credible/roussos_2024/variant_figures/roussos_2024.childhood.Astrocyte/rs72839625_profile_position.png",4,220,900)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-0.0088871213</v>
      </c>
      <c r="G437" t="n">
        <v>0.7021803867303172</v>
      </c>
      <c r="H437" t="n">
        <v>0.0134770730117352</v>
      </c>
      <c r="I437" t="n">
        <v>0.3885716126721714</v>
      </c>
      <c r="J437" t="n">
        <v>0.2408264828681122</v>
      </c>
      <c r="K437" t="n">
        <v>0.1708168571467476</v>
      </c>
      <c r="L437" t="b">
        <v>0</v>
      </c>
      <c r="M437" t="b">
        <v>0</v>
      </c>
      <c r="N437" t="inlineStr">
        <is>
          <t>ref</t>
        </is>
      </c>
      <c r="O437" t="n">
        <v>20</v>
      </c>
      <c r="P437" t="n">
        <v>0.003525</v>
      </c>
      <c r="Q437" t="n">
        <v>100</v>
      </c>
      <c r="R437" t="n">
        <v>0.03357</v>
      </c>
      <c r="S437">
        <f>IMAGE("https://mitra.stanford.edu/kundaje/oak/projects/neuro-variants/variant_position/credible/roussos_2024/variant_figures/roussos_2024.childhood.Astrocyte/rs7902292_count_position.png",4,220,900)</f>
        <v/>
      </c>
      <c r="T437">
        <f>IMAGE("https://mitra.stanford.edu/kundaje/oak/projects/neuro-variants/variant_position/credible/roussos_2024/variant_figures/roussos_2024.childhood.Astrocyte/rs7902292_profile_position.png",4,220,900)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-0.1113768982</v>
      </c>
      <c r="G438" t="n">
        <v>0.0624836672266521</v>
      </c>
      <c r="H438" t="n">
        <v>0.0165082493904889</v>
      </c>
      <c r="I438" t="n">
        <v>0.2314351412674024</v>
      </c>
      <c r="J438" t="n">
        <v>0.3205979559280377</v>
      </c>
      <c r="K438" t="n">
        <v>0.1197338996486077</v>
      </c>
      <c r="L438" t="b">
        <v>0</v>
      </c>
      <c r="M438" t="b">
        <v>0</v>
      </c>
      <c r="N438" t="inlineStr">
        <is>
          <t>ref</t>
        </is>
      </c>
      <c r="O438" t="n">
        <v>-35</v>
      </c>
      <c r="P438" t="n">
        <v>0.0075</v>
      </c>
      <c r="Q438" t="n">
        <v>-40</v>
      </c>
      <c r="R438" t="n">
        <v>0.09424</v>
      </c>
      <c r="S438">
        <f>IMAGE("https://mitra.stanford.edu/kundaje/oak/projects/neuro-variants/variant_position/credible/roussos_2024/variant_figures/roussos_2024.childhood.Astrocyte/rs4752661_count_position.png",4,220,900)</f>
        <v/>
      </c>
      <c r="T438">
        <f>IMAGE("https://mitra.stanford.edu/kundaje/oak/projects/neuro-variants/variant_position/credible/roussos_2024/variant_figures/roussos_2024.childhood.Astrocyte/rs4752661_profile_position.png",4,220,900)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-0.00670949038</v>
      </c>
      <c r="G439" t="n">
        <v>0.7233371307191233</v>
      </c>
      <c r="H439" t="n">
        <v>0.008789711798221699</v>
      </c>
      <c r="I439" t="n">
        <v>0.8414498467155012</v>
      </c>
      <c r="J439" t="n">
        <v>0.0012792623632768</v>
      </c>
      <c r="K439" t="n">
        <v>0.8927061571717868</v>
      </c>
      <c r="L439" t="b">
        <v>0</v>
      </c>
      <c r="M439" t="b">
        <v>0</v>
      </c>
      <c r="N439" t="inlineStr">
        <is>
          <t>ref</t>
        </is>
      </c>
      <c r="O439" t="n">
        <v>-45</v>
      </c>
      <c r="P439" t="n">
        <v>0.003494</v>
      </c>
      <c r="Q439" t="n">
        <v>-60</v>
      </c>
      <c r="R439" t="n">
        <v>0.0532</v>
      </c>
      <c r="S439">
        <f>IMAGE("https://mitra.stanford.edu/kundaje/oak/projects/neuro-variants/variant_position/credible/roussos_2024/variant_figures/roussos_2024.childhood.Astrocyte/rs10832723_count_position.png",4,220,900)</f>
        <v/>
      </c>
      <c r="T439">
        <f>IMAGE("https://mitra.stanford.edu/kundaje/oak/projects/neuro-variants/variant_position/credible/roussos_2024/variant_figures/roussos_2024.childhood.Astrocyte/rs10832723_profile_position.png",4,220,900)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-0.07346693899999999</v>
      </c>
      <c r="G440" t="n">
        <v>0.1247365056387934</v>
      </c>
      <c r="H440" t="n">
        <v>0.0208597025874498</v>
      </c>
      <c r="I440" t="n">
        <v>0.1114272756453814</v>
      </c>
      <c r="J440" t="n">
        <v>0.1369123674749833</v>
      </c>
      <c r="K440" t="n">
        <v>0.2693938711204115</v>
      </c>
      <c r="L440" t="b">
        <v>0</v>
      </c>
      <c r="M440" t="b">
        <v>0</v>
      </c>
      <c r="N440" t="inlineStr">
        <is>
          <t>ref</t>
        </is>
      </c>
      <c r="O440" t="n">
        <v>55</v>
      </c>
      <c r="P440" t="n">
        <v>0.008059999999999999</v>
      </c>
      <c r="Q440" t="n">
        <v>95</v>
      </c>
      <c r="R440" t="n">
        <v>0.1399</v>
      </c>
      <c r="S440">
        <f>IMAGE("https://mitra.stanford.edu/kundaje/oak/projects/neuro-variants/variant_position/credible/roussos_2024/variant_figures/roussos_2024.childhood.Astrocyte/rs4456241_count_position.png",4,220,900)</f>
        <v/>
      </c>
      <c r="T440">
        <f>IMAGE("https://mitra.stanford.edu/kundaje/oak/projects/neuro-variants/variant_position/credible/roussos_2024/variant_figures/roussos_2024.childhood.Astrocyte/rs4456241_profile_position.png",4,220,900)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0.0334268864</v>
      </c>
      <c r="G441" t="n">
        <v>0.3423419405867453</v>
      </c>
      <c r="H441" t="n">
        <v>0.0324069825365207</v>
      </c>
      <c r="I441" t="n">
        <v>0.0225799374259063</v>
      </c>
      <c r="J441" t="n">
        <v>0.0141031806003984</v>
      </c>
      <c r="K441" t="n">
        <v>0.6418898770225395</v>
      </c>
      <c r="L441" t="b">
        <v>0</v>
      </c>
      <c r="M441" t="b">
        <v>0</v>
      </c>
      <c r="N441" t="inlineStr">
        <is>
          <t>alt</t>
        </is>
      </c>
      <c r="O441" t="n">
        <v>100</v>
      </c>
      <c r="P441" t="n">
        <v>0.00536</v>
      </c>
      <c r="Q441" t="n">
        <v>-100</v>
      </c>
      <c r="R441" t="n">
        <v>0.10516</v>
      </c>
      <c r="S441">
        <f>IMAGE("https://mitra.stanford.edu/kundaje/oak/projects/neuro-variants/variant_position/credible/roussos_2024/variant_figures/roussos_2024.childhood.Astrocyte/rs77545208_count_position.png",4,220,900)</f>
        <v/>
      </c>
      <c r="T441">
        <f>IMAGE("https://mitra.stanford.edu/kundaje/oak/projects/neuro-variants/variant_position/credible/roussos_2024/variant_figures/roussos_2024.childhood.Astrocyte/rs77545208_profile_position.png",4,220,900)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-0.0252368298</v>
      </c>
      <c r="G442" t="n">
        <v>0.4525782005774814</v>
      </c>
      <c r="H442" t="n">
        <v>0.06702663335923879</v>
      </c>
      <c r="I442" t="n">
        <v>0.0013879111965025</v>
      </c>
      <c r="J442" t="n">
        <v>0.027333928694099</v>
      </c>
      <c r="K442" t="n">
        <v>0.5583763334071249</v>
      </c>
      <c r="L442" t="b">
        <v>1</v>
      </c>
      <c r="M442" t="b">
        <v>0</v>
      </c>
      <c r="N442" t="inlineStr">
        <is>
          <t>ref</t>
        </is>
      </c>
      <c r="O442" t="n">
        <v>10</v>
      </c>
      <c r="P442" t="n">
        <v>0.00586</v>
      </c>
      <c r="Q442" t="n">
        <v>-45</v>
      </c>
      <c r="R442" t="n">
        <v>0.03098</v>
      </c>
      <c r="S442">
        <f>IMAGE("https://mitra.stanford.edu/kundaje/oak/projects/neuro-variants/variant_position/credible/roussos_2024/variant_figures/roussos_2024.childhood.Astrocyte/rs34902253_count_position.png",4,220,900)</f>
        <v/>
      </c>
      <c r="T442">
        <f>IMAGE("https://mitra.stanford.edu/kundaje/oak/projects/neuro-variants/variant_position/credible/roussos_2024/variant_figures/roussos_2024.childhood.Astrocyte/rs34902253_profile_position.png",4,220,900)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0.08540779900000001</v>
      </c>
      <c r="G443" t="n">
        <v>0.0914399718659623</v>
      </c>
      <c r="H443" t="n">
        <v>0.015065848195468</v>
      </c>
      <c r="I443" t="n">
        <v>0.2916761906993623</v>
      </c>
      <c r="J443" t="n">
        <v>0.1033637883263492</v>
      </c>
      <c r="K443" t="n">
        <v>0.3245492216293427</v>
      </c>
      <c r="L443" t="b">
        <v>0</v>
      </c>
      <c r="M443" t="b">
        <v>0</v>
      </c>
      <c r="N443" t="inlineStr">
        <is>
          <t>alt</t>
        </is>
      </c>
      <c r="O443" t="n">
        <v>75</v>
      </c>
      <c r="P443" t="n">
        <v>0.00335</v>
      </c>
      <c r="Q443" t="n">
        <v>80</v>
      </c>
      <c r="R443" t="n">
        <v>0.07446</v>
      </c>
      <c r="S443">
        <f>IMAGE("https://mitra.stanford.edu/kundaje/oak/projects/neuro-variants/variant_position/credible/roussos_2024/variant_figures/roussos_2024.childhood.Astrocyte/rs7950225_count_position.png",4,220,900)</f>
        <v/>
      </c>
      <c r="T443">
        <f>IMAGE("https://mitra.stanford.edu/kundaje/oak/projects/neuro-variants/variant_position/credible/roussos_2024/variant_figures/roussos_2024.childhood.Astrocyte/rs7950225_profile_position.png",4,220,900)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-0.01176523664</v>
      </c>
      <c r="G444" t="n">
        <v>0.588970664942467</v>
      </c>
      <c r="H444" t="n">
        <v>0.0122942509563314</v>
      </c>
      <c r="I444" t="n">
        <v>0.4887649532513428</v>
      </c>
      <c r="J444" t="n">
        <v>0.0231664033340202</v>
      </c>
      <c r="K444" t="n">
        <v>0.5788549473562163</v>
      </c>
      <c r="L444" t="b">
        <v>0</v>
      </c>
      <c r="M444" t="b">
        <v>0</v>
      </c>
      <c r="N444" t="inlineStr">
        <is>
          <t>ref</t>
        </is>
      </c>
      <c r="O444" t="n">
        <v>85</v>
      </c>
      <c r="P444" t="n">
        <v>0.005447</v>
      </c>
      <c r="Q444" t="n">
        <v>100</v>
      </c>
      <c r="R444" t="n">
        <v>0.1816</v>
      </c>
      <c r="S444">
        <f>IMAGE("https://mitra.stanford.edu/kundaje/oak/projects/neuro-variants/variant_position/credible/roussos_2024/variant_figures/roussos_2024.childhood.Astrocyte/rs12577418_count_position.png",4,220,900)</f>
        <v/>
      </c>
      <c r="T444">
        <f>IMAGE("https://mitra.stanford.edu/kundaje/oak/projects/neuro-variants/variant_position/credible/roussos_2024/variant_figures/roussos_2024.childhood.Astrocyte/rs12577418_profile_position.png",4,220,900)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-0.01152041022</v>
      </c>
      <c r="G445" t="n">
        <v>0.4565195256253515</v>
      </c>
      <c r="H445" t="n">
        <v>0.0410749633795322</v>
      </c>
      <c r="I445" t="n">
        <v>0.008612026229019701</v>
      </c>
      <c r="J445" t="n">
        <v>0.0044598627617106</v>
      </c>
      <c r="K445" t="n">
        <v>0.7910403108031965</v>
      </c>
      <c r="L445" t="b">
        <v>0</v>
      </c>
      <c r="M445" t="b">
        <v>0</v>
      </c>
      <c r="N445" t="inlineStr">
        <is>
          <t>ref</t>
        </is>
      </c>
      <c r="O445" t="n">
        <v>-70</v>
      </c>
      <c r="P445" t="n">
        <v>0.01189</v>
      </c>
      <c r="Q445" t="n">
        <v>-85</v>
      </c>
      <c r="R445" t="n">
        <v>0.08935999999999999</v>
      </c>
      <c r="S445">
        <f>IMAGE("https://mitra.stanford.edu/kundaje/oak/projects/neuro-variants/variant_position/credible/roussos_2024/variant_figures/roussos_2024.childhood.Astrocyte/rs11024151_count_position.png",4,220,900)</f>
        <v/>
      </c>
      <c r="T445">
        <f>IMAGE("https://mitra.stanford.edu/kundaje/oak/projects/neuro-variants/variant_position/credible/roussos_2024/variant_figures/roussos_2024.childhood.Astrocyte/rs11024151_profile_position.png",4,220,900)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0.162964292</v>
      </c>
      <c r="G446" t="n">
        <v>0.0269861867890445</v>
      </c>
      <c r="H446" t="n">
        <v>0.0223594434818834</v>
      </c>
      <c r="I446" t="n">
        <v>0.08688012555720651</v>
      </c>
      <c r="J446" t="n">
        <v>0.3023867860441329</v>
      </c>
      <c r="K446" t="n">
        <v>0.131183298438634</v>
      </c>
      <c r="L446" t="b">
        <v>0</v>
      </c>
      <c r="M446" t="b">
        <v>0</v>
      </c>
      <c r="N446" t="inlineStr">
        <is>
          <t>alt</t>
        </is>
      </c>
      <c r="O446" t="n">
        <v>-5</v>
      </c>
      <c r="P446" t="n">
        <v>0.0004234</v>
      </c>
      <c r="Q446" t="n">
        <v>-5</v>
      </c>
      <c r="R446" t="n">
        <v>0.00537</v>
      </c>
      <c r="S446">
        <f>IMAGE("https://mitra.stanford.edu/kundaje/oak/projects/neuro-variants/variant_position/credible/roussos_2024/variant_figures/roussos_2024.childhood.Astrocyte/rs1987694_count_position.png",4,220,900)</f>
        <v/>
      </c>
      <c r="T446">
        <f>IMAGE("https://mitra.stanford.edu/kundaje/oak/projects/neuro-variants/variant_position/credible/roussos_2024/variant_figures/roussos_2024.childhood.Astrocyte/rs1987694_profile_position.png",4,220,900)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-0.0372564986</v>
      </c>
      <c r="G447" t="n">
        <v>0.3114321136092042</v>
      </c>
      <c r="H447" t="n">
        <v>0.0285868325940176</v>
      </c>
      <c r="I447" t="n">
        <v>0.0359615386452933</v>
      </c>
      <c r="J447" t="n">
        <v>0.0140390648256279</v>
      </c>
      <c r="K447" t="n">
        <v>0.6611388514920273</v>
      </c>
      <c r="L447" t="b">
        <v>0</v>
      </c>
      <c r="M447" t="b">
        <v>0</v>
      </c>
      <c r="N447" t="inlineStr">
        <is>
          <t>ref</t>
        </is>
      </c>
      <c r="O447" t="n">
        <v>25</v>
      </c>
      <c r="P447" t="n">
        <v>0.02487</v>
      </c>
      <c r="Q447" t="n">
        <v>70</v>
      </c>
      <c r="R447" t="n">
        <v>0.0985</v>
      </c>
      <c r="S447">
        <f>IMAGE("https://mitra.stanford.edu/kundaje/oak/projects/neuro-variants/variant_position/credible/roussos_2024/variant_figures/roussos_2024.childhood.Astrocyte/rs214934_count_position.png",4,220,900)</f>
        <v/>
      </c>
      <c r="T447">
        <f>IMAGE("https://mitra.stanford.edu/kundaje/oak/projects/neuro-variants/variant_position/credible/roussos_2024/variant_figures/roussos_2024.childhood.Astrocyte/rs214934_profile_position.png",4,220,900)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-0.0273736794</v>
      </c>
      <c r="G448" t="n">
        <v>0.4169078221029087</v>
      </c>
      <c r="H448" t="n">
        <v>0.0460215671136476</v>
      </c>
      <c r="I448" t="n">
        <v>0.0057422557512115</v>
      </c>
      <c r="J448" t="n">
        <v>0.0071847831894544</v>
      </c>
      <c r="K448" t="n">
        <v>0.7306483683444985</v>
      </c>
      <c r="L448" t="b">
        <v>0</v>
      </c>
      <c r="M448" t="b">
        <v>0</v>
      </c>
      <c r="N448" t="inlineStr">
        <is>
          <t>ref</t>
        </is>
      </c>
      <c r="O448" t="n">
        <v>100</v>
      </c>
      <c r="P448" t="n">
        <v>0.0105</v>
      </c>
      <c r="Q448" t="n">
        <v>25</v>
      </c>
      <c r="R448" t="n">
        <v>0.05145</v>
      </c>
      <c r="S448">
        <f>IMAGE("https://mitra.stanford.edu/kundaje/oak/projects/neuro-variants/variant_position/credible/roussos_2024/variant_figures/roussos_2024.childhood.Astrocyte/rs664382_count_position.png",4,220,900)</f>
        <v/>
      </c>
      <c r="T448">
        <f>IMAGE("https://mitra.stanford.edu/kundaje/oak/projects/neuro-variants/variant_position/credible/roussos_2024/variant_figures/roussos_2024.childhood.Astrocyte/rs664382_profile_position.png",4,220,900)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0.0001540511799999</v>
      </c>
      <c r="G449" t="n">
        <v>0.8054079375032027</v>
      </c>
      <c r="H449" t="n">
        <v>0.011854737868582</v>
      </c>
      <c r="I449" t="n">
        <v>0.5259034582103471</v>
      </c>
      <c r="J449" t="n">
        <v>0.0040629555845602</v>
      </c>
      <c r="K449" t="n">
        <v>0.7932661286883003</v>
      </c>
      <c r="L449" t="b">
        <v>0</v>
      </c>
      <c r="M449" t="b">
        <v>0</v>
      </c>
      <c r="N449" t="inlineStr">
        <is>
          <t>alt</t>
        </is>
      </c>
      <c r="O449" t="n">
        <v>-100</v>
      </c>
      <c r="P449" t="n">
        <v>0.1859</v>
      </c>
      <c r="Q449" t="n">
        <v>-100</v>
      </c>
      <c r="R449" t="n">
        <v>0.0784</v>
      </c>
      <c r="S449">
        <f>IMAGE("https://mitra.stanford.edu/kundaje/oak/projects/neuro-variants/variant_position/credible/roussos_2024/variant_figures/roussos_2024.childhood.Astrocyte/rs665311_count_position.png",4,220,900)</f>
        <v/>
      </c>
      <c r="T449">
        <f>IMAGE("https://mitra.stanford.edu/kundaje/oak/projects/neuro-variants/variant_position/credible/roussos_2024/variant_figures/roussos_2024.childhood.Astrocyte/rs665311_profile_position.png",4,220,900)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-0.0958049888</v>
      </c>
      <c r="G450" t="n">
        <v>0.0814841090564703</v>
      </c>
      <c r="H450" t="n">
        <v>0.0152193832794167</v>
      </c>
      <c r="I450" t="n">
        <v>0.285467777492765</v>
      </c>
      <c r="J450" t="n">
        <v>0.4508018288261469</v>
      </c>
      <c r="K450" t="n">
        <v>0.06812006975318689</v>
      </c>
      <c r="L450" t="b">
        <v>0</v>
      </c>
      <c r="M450" t="b">
        <v>0</v>
      </c>
      <c r="N450" t="inlineStr">
        <is>
          <t>ref</t>
        </is>
      </c>
      <c r="O450" t="n">
        <v>65</v>
      </c>
      <c r="P450" t="n">
        <v>0.03247</v>
      </c>
      <c r="Q450" t="n">
        <v>50</v>
      </c>
      <c r="R450" t="n">
        <v>0.37</v>
      </c>
      <c r="S450">
        <f>IMAGE("https://mitra.stanford.edu/kundaje/oak/projects/neuro-variants/variant_position/credible/roussos_2024/variant_figures/roussos_2024.childhood.Astrocyte/rs615358_count_position.png",4,220,900)</f>
        <v/>
      </c>
      <c r="T450">
        <f>IMAGE("https://mitra.stanford.edu/kundaje/oak/projects/neuro-variants/variant_position/credible/roussos_2024/variant_figures/roussos_2024.childhood.Astrocyte/rs615358_profile_position.png",4,220,900)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-0.2051445639999999</v>
      </c>
      <c r="G451" t="n">
        <v>0.0159723675008215</v>
      </c>
      <c r="H451" t="n">
        <v>0.0447191253863404</v>
      </c>
      <c r="I451" t="n">
        <v>0.0063390316042458</v>
      </c>
      <c r="J451" t="n">
        <v>0.4723027485822017</v>
      </c>
      <c r="K451" t="n">
        <v>0.0618329684672112</v>
      </c>
      <c r="L451" t="b">
        <v>1</v>
      </c>
      <c r="M451" t="b">
        <v>1</v>
      </c>
      <c r="N451" t="inlineStr">
        <is>
          <t>ref</t>
        </is>
      </c>
      <c r="O451" t="n">
        <v>15</v>
      </c>
      <c r="P451" t="n">
        <v>0.00238</v>
      </c>
      <c r="Q451" t="n">
        <v>0</v>
      </c>
      <c r="R451" t="n">
        <v>0</v>
      </c>
      <c r="S451">
        <f>IMAGE("https://mitra.stanford.edu/kundaje/oak/projects/neuro-variants/variant_position/credible/roussos_2024/variant_figures/roussos_2024.childhood.Astrocyte/rs615424_count_position.png",4,220,900)</f>
        <v/>
      </c>
      <c r="T451">
        <f>IMAGE("https://mitra.stanford.edu/kundaje/oak/projects/neuro-variants/variant_position/credible/roussos_2024/variant_figures/roussos_2024.childhood.Astrocyte/rs615424_profile_position.png",4,220,900)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-0.0533338149999999</v>
      </c>
      <c r="G452" t="n">
        <v>0.1772781188295132</v>
      </c>
      <c r="H452" t="n">
        <v>0.0157449487566014</v>
      </c>
      <c r="I452" t="n">
        <v>0.2622681345565507</v>
      </c>
      <c r="J452" t="n">
        <v>0.0207696946104584</v>
      </c>
      <c r="K452" t="n">
        <v>0.6131459534947303</v>
      </c>
      <c r="L452" t="b">
        <v>0</v>
      </c>
      <c r="M452" t="b">
        <v>0</v>
      </c>
      <c r="N452" t="inlineStr">
        <is>
          <t>ref</t>
        </is>
      </c>
      <c r="O452" t="n">
        <v>-100</v>
      </c>
      <c r="P452" t="n">
        <v>0.00373</v>
      </c>
      <c r="Q452" t="n">
        <v>-45</v>
      </c>
      <c r="R452" t="n">
        <v>0.04636</v>
      </c>
      <c r="S452">
        <f>IMAGE("https://mitra.stanford.edu/kundaje/oak/projects/neuro-variants/variant_position/credible/roussos_2024/variant_figures/roussos_2024.childhood.Astrocyte/rs2553965_count_position.png",4,220,900)</f>
        <v/>
      </c>
      <c r="T452">
        <f>IMAGE("https://mitra.stanford.edu/kundaje/oak/projects/neuro-variants/variant_position/credible/roussos_2024/variant_figures/roussos_2024.childhood.Astrocyte/rs2553965_profile_position.png",4,220,900)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-0.05062943918</v>
      </c>
      <c r="G453" t="n">
        <v>0.2371299977010379</v>
      </c>
      <c r="H453" t="n">
        <v>0.0123396374279563</v>
      </c>
      <c r="I453" t="n">
        <v>0.4796680725764859</v>
      </c>
      <c r="J453" t="n">
        <v>0.0242678207506125</v>
      </c>
      <c r="K453" t="n">
        <v>0.5746941940494339</v>
      </c>
      <c r="L453" t="b">
        <v>0</v>
      </c>
      <c r="M453" t="b">
        <v>0</v>
      </c>
      <c r="N453" t="inlineStr">
        <is>
          <t>ref</t>
        </is>
      </c>
      <c r="O453" t="n">
        <v>100</v>
      </c>
      <c r="P453" t="n">
        <v>0.06335</v>
      </c>
      <c r="Q453" t="n">
        <v>85</v>
      </c>
      <c r="R453" t="n">
        <v>0.1316</v>
      </c>
      <c r="S453">
        <f>IMAGE("https://mitra.stanford.edu/kundaje/oak/projects/neuro-variants/variant_position/credible/roussos_2024/variant_figures/roussos_2024.childhood.Astrocyte/rs712017_count_position.png",4,220,900)</f>
        <v/>
      </c>
      <c r="T453">
        <f>IMAGE("https://mitra.stanford.edu/kundaje/oak/projects/neuro-variants/variant_position/credible/roussos_2024/variant_figures/roussos_2024.childhood.Astrocyte/rs712017_profile_position.png",4,220,900)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-0.00938929528</v>
      </c>
      <c r="G454" t="n">
        <v>0.7119346589787201</v>
      </c>
      <c r="H454" t="n">
        <v>0.0128257066297562</v>
      </c>
      <c r="I454" t="n">
        <v>0.4418448393839062</v>
      </c>
      <c r="J454" t="n">
        <v>0.0031744941341698</v>
      </c>
      <c r="K454" t="n">
        <v>0.8244694832770574</v>
      </c>
      <c r="L454" t="b">
        <v>0</v>
      </c>
      <c r="M454" t="b">
        <v>0</v>
      </c>
      <c r="N454" t="inlineStr">
        <is>
          <t>ref</t>
        </is>
      </c>
      <c r="O454" t="n">
        <v>40</v>
      </c>
      <c r="P454" t="n">
        <v>0.0369</v>
      </c>
      <c r="Q454" t="n">
        <v>50</v>
      </c>
      <c r="R454" t="n">
        <v>0.0954</v>
      </c>
      <c r="S454">
        <f>IMAGE("https://mitra.stanford.edu/kundaje/oak/projects/neuro-variants/variant_position/credible/roussos_2024/variant_figures/roussos_2024.childhood.Astrocyte/rs813212_count_position.png",4,220,900)</f>
        <v/>
      </c>
      <c r="T454">
        <f>IMAGE("https://mitra.stanford.edu/kundaje/oak/projects/neuro-variants/variant_position/credible/roussos_2024/variant_figures/roussos_2024.childhood.Astrocyte/rs813212_profile_position.png",4,220,900)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0.0507852638</v>
      </c>
      <c r="G455" t="n">
        <v>0.2089300165144078</v>
      </c>
      <c r="H455" t="n">
        <v>0.0099457295714177</v>
      </c>
      <c r="I455" t="n">
        <v>0.728094872412548</v>
      </c>
      <c r="J455" t="n">
        <v>0.0109088411073709</v>
      </c>
      <c r="K455" t="n">
        <v>0.7001386595261154</v>
      </c>
      <c r="L455" t="b">
        <v>0</v>
      </c>
      <c r="M455" t="b">
        <v>0</v>
      </c>
      <c r="N455" t="inlineStr">
        <is>
          <t>alt</t>
        </is>
      </c>
      <c r="O455" t="n">
        <v>75</v>
      </c>
      <c r="P455" t="n">
        <v>0.02756</v>
      </c>
      <c r="Q455" t="n">
        <v>90</v>
      </c>
      <c r="R455" t="n">
        <v>0.4158</v>
      </c>
      <c r="S455">
        <f>IMAGE("https://mitra.stanford.edu/kundaje/oak/projects/neuro-variants/variant_position/credible/roussos_2024/variant_figures/roussos_2024.childhood.Astrocyte/rs1087110_count_position.png",4,220,900)</f>
        <v/>
      </c>
      <c r="T455">
        <f>IMAGE("https://mitra.stanford.edu/kundaje/oak/projects/neuro-variants/variant_position/credible/roussos_2024/variant_figures/roussos_2024.childhood.Astrocyte/rs1087110_profile_position.png",4,220,900)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-0.01973350912</v>
      </c>
      <c r="G456" t="n">
        <v>0.5346640279455268</v>
      </c>
      <c r="H456" t="n">
        <v>0.0109099224602659</v>
      </c>
      <c r="I456" t="n">
        <v>0.6191622034251917</v>
      </c>
      <c r="J456" t="n">
        <v>0.2031577019074442</v>
      </c>
      <c r="K456" t="n">
        <v>0.2012593014570136</v>
      </c>
      <c r="L456" t="b">
        <v>0</v>
      </c>
      <c r="M456" t="b">
        <v>0</v>
      </c>
      <c r="N456" t="inlineStr">
        <is>
          <t>ref</t>
        </is>
      </c>
      <c r="O456" t="n">
        <v>55</v>
      </c>
      <c r="P456" t="n">
        <v>0.009186</v>
      </c>
      <c r="Q456" t="n">
        <v>95</v>
      </c>
      <c r="R456" t="n">
        <v>0.0393</v>
      </c>
      <c r="S456">
        <f>IMAGE("https://mitra.stanford.edu/kundaje/oak/projects/neuro-variants/variant_position/credible/roussos_2024/variant_figures/roussos_2024.childhood.Astrocyte/rs1698887_count_position.png",4,220,900)</f>
        <v/>
      </c>
      <c r="T456">
        <f>IMAGE("https://mitra.stanford.edu/kundaje/oak/projects/neuro-variants/variant_position/credible/roussos_2024/variant_figures/roussos_2024.childhood.Astrocyte/rs1698887_profile_position.png",4,220,900)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0.223673708</v>
      </c>
      <c r="G457" t="n">
        <v>0.0129205601911816</v>
      </c>
      <c r="H457" t="n">
        <v>0.0240702077831752</v>
      </c>
      <c r="I457" t="n">
        <v>0.069924184354069</v>
      </c>
      <c r="J457" t="n">
        <v>0.590695579827956</v>
      </c>
      <c r="K457" t="n">
        <v>0.03535543791104</v>
      </c>
      <c r="L457" t="b">
        <v>1</v>
      </c>
      <c r="M457" t="b">
        <v>0</v>
      </c>
      <c r="N457" t="inlineStr">
        <is>
          <t>alt</t>
        </is>
      </c>
      <c r="O457" t="n">
        <v>-90</v>
      </c>
      <c r="P457" t="n">
        <v>0.2664</v>
      </c>
      <c r="Q457" t="n">
        <v>-90</v>
      </c>
      <c r="R457" t="n">
        <v>0.6387</v>
      </c>
      <c r="S457">
        <f>IMAGE("https://mitra.stanford.edu/kundaje/oak/projects/neuro-variants/variant_position/credible/roussos_2024/variant_figures/roussos_2024.childhood.Astrocyte/rs11025099_count_position.png",4,220,900)</f>
        <v/>
      </c>
      <c r="T457">
        <f>IMAGE("https://mitra.stanford.edu/kundaje/oak/projects/neuro-variants/variant_position/credible/roussos_2024/variant_figures/roussos_2024.childhood.Astrocyte/rs11025099_profile_position.png",4,220,900)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0.0731943736</v>
      </c>
      <c r="G458" t="n">
        <v>0.1172145180945473</v>
      </c>
      <c r="H458" t="n">
        <v>0.0167990756981858</v>
      </c>
      <c r="I458" t="n">
        <v>0.2190642645802812</v>
      </c>
      <c r="J458" t="n">
        <v>0.0510888232465479</v>
      </c>
      <c r="K458" t="n">
        <v>0.4400007904036053</v>
      </c>
      <c r="L458" t="b">
        <v>0</v>
      </c>
      <c r="M458" t="b">
        <v>0</v>
      </c>
      <c r="N458" t="inlineStr">
        <is>
          <t>alt</t>
        </is>
      </c>
      <c r="O458" t="n">
        <v>-90</v>
      </c>
      <c r="P458" t="n">
        <v>0.01846</v>
      </c>
      <c r="Q458" t="n">
        <v>45</v>
      </c>
      <c r="R458" t="n">
        <v>0.1477</v>
      </c>
      <c r="S458">
        <f>IMAGE("https://mitra.stanford.edu/kundaje/oak/projects/neuro-variants/variant_position/credible/roussos_2024/variant_figures/roussos_2024.childhood.Astrocyte/rs10833094_count_position.png",4,220,900)</f>
        <v/>
      </c>
      <c r="T458">
        <f>IMAGE("https://mitra.stanford.edu/kundaje/oak/projects/neuro-variants/variant_position/credible/roussos_2024/variant_figures/roussos_2024.childhood.Astrocyte/rs10833094_profile_position.png",4,220,900)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-0.22400647</v>
      </c>
      <c r="G459" t="n">
        <v>0.0129765119534699</v>
      </c>
      <c r="H459" t="n">
        <v>0.0164108131800039</v>
      </c>
      <c r="I459" t="n">
        <v>0.2348404008885643</v>
      </c>
      <c r="J459" t="n">
        <v>0.4926327921656629</v>
      </c>
      <c r="K459" t="n">
        <v>0.0574928497915673</v>
      </c>
      <c r="L459" t="b">
        <v>1</v>
      </c>
      <c r="M459" t="b">
        <v>0</v>
      </c>
      <c r="N459" t="inlineStr">
        <is>
          <t>ref</t>
        </is>
      </c>
      <c r="O459" t="n">
        <v>90</v>
      </c>
      <c r="P459" t="n">
        <v>0.04953</v>
      </c>
      <c r="Q459" t="n">
        <v>95</v>
      </c>
      <c r="R459" t="n">
        <v>0.2227</v>
      </c>
      <c r="S459">
        <f>IMAGE("https://mitra.stanford.edu/kundaje/oak/projects/neuro-variants/variant_position/credible/roussos_2024/variant_figures/roussos_2024.childhood.Astrocyte/rs57208920_count_position.png",4,220,900)</f>
        <v/>
      </c>
      <c r="T459">
        <f>IMAGE("https://mitra.stanford.edu/kundaje/oak/projects/neuro-variants/variant_position/credible/roussos_2024/variant_figures/roussos_2024.childhood.Astrocyte/rs57208920_profile_position.png",4,220,900)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0.0303469119999999</v>
      </c>
      <c r="G460" t="n">
        <v>0.3765380138234766</v>
      </c>
      <c r="H460" t="n">
        <v>0.0349013416973263</v>
      </c>
      <c r="I460" t="n">
        <v>0.0166667703840751</v>
      </c>
      <c r="J460" t="n">
        <v>0.0503003518734781</v>
      </c>
      <c r="K460" t="n">
        <v>0.4414695031957852</v>
      </c>
      <c r="L460" t="b">
        <v>1</v>
      </c>
      <c r="M460" t="b">
        <v>0</v>
      </c>
      <c r="N460" t="inlineStr">
        <is>
          <t>alt</t>
        </is>
      </c>
      <c r="O460" t="n">
        <v>-10</v>
      </c>
      <c r="P460" t="n">
        <v>0.004364</v>
      </c>
      <c r="Q460" t="n">
        <v>100</v>
      </c>
      <c r="R460" t="n">
        <v>0.0997</v>
      </c>
      <c r="S460">
        <f>IMAGE("https://mitra.stanford.edu/kundaje/oak/projects/neuro-variants/variant_position/credible/roussos_2024/variant_figures/roussos_2024.childhood.Astrocyte/rs10766541_count_position.png",4,220,900)</f>
        <v/>
      </c>
      <c r="T460">
        <f>IMAGE("https://mitra.stanford.edu/kundaje/oak/projects/neuro-variants/variant_position/credible/roussos_2024/variant_figures/roussos_2024.childhood.Astrocyte/rs10766541_profile_position.png",4,220,900)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0.0597699313999999</v>
      </c>
      <c r="G461" t="n">
        <v>0.1692764627336311</v>
      </c>
      <c r="H461" t="n">
        <v>0.0284969652365709</v>
      </c>
      <c r="I461" t="n">
        <v>0.0361036646654371</v>
      </c>
      <c r="J461" t="n">
        <v>0.0317273858319403</v>
      </c>
      <c r="K461" t="n">
        <v>0.5296831756546539</v>
      </c>
      <c r="L461" t="b">
        <v>0</v>
      </c>
      <c r="M461" t="b">
        <v>0</v>
      </c>
      <c r="N461" t="inlineStr">
        <is>
          <t>alt</t>
        </is>
      </c>
      <c r="O461" t="n">
        <v>5</v>
      </c>
      <c r="P461" t="n">
        <v>0.000519</v>
      </c>
      <c r="Q461" t="n">
        <v>40</v>
      </c>
      <c r="R461" t="n">
        <v>0.02966</v>
      </c>
      <c r="S461">
        <f>IMAGE("https://mitra.stanford.edu/kundaje/oak/projects/neuro-variants/variant_position/credible/roussos_2024/variant_figures/roussos_2024.childhood.Astrocyte/rs7940014_count_position.png",4,220,900)</f>
        <v/>
      </c>
      <c r="T461">
        <f>IMAGE("https://mitra.stanford.edu/kundaje/oak/projects/neuro-variants/variant_position/credible/roussos_2024/variant_figures/roussos_2024.childhood.Astrocyte/rs7940014_profile_position.png",4,220,900)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-0.0133983039199999</v>
      </c>
      <c r="G462" t="n">
        <v>0.5442479967049008</v>
      </c>
      <c r="H462" t="n">
        <v>0.0090062825846682</v>
      </c>
      <c r="I462" t="n">
        <v>0.7983897274517811</v>
      </c>
      <c r="J462" t="n">
        <v>0.0035149183668795</v>
      </c>
      <c r="K462" t="n">
        <v>0.8126646269590938</v>
      </c>
      <c r="L462" t="b">
        <v>0</v>
      </c>
      <c r="M462" t="b">
        <v>0</v>
      </c>
      <c r="N462" t="inlineStr">
        <is>
          <t>ref</t>
        </is>
      </c>
      <c r="O462" t="n">
        <v>100</v>
      </c>
      <c r="P462" t="n">
        <v>0.00762</v>
      </c>
      <c r="Q462" t="n">
        <v>5</v>
      </c>
      <c r="R462" t="n">
        <v>0.01782</v>
      </c>
      <c r="S462">
        <f>IMAGE("https://mitra.stanford.edu/kundaje/oak/projects/neuro-variants/variant_position/credible/roussos_2024/variant_figures/roussos_2024.childhood.Astrocyte/rs4757792_count_position.png",4,220,900)</f>
        <v/>
      </c>
      <c r="T462">
        <f>IMAGE("https://mitra.stanford.edu/kundaje/oak/projects/neuro-variants/variant_position/credible/roussos_2024/variant_figures/roussos_2024.childhood.Astrocyte/rs4757792_profile_position.png",4,220,900)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-0.0059015054</v>
      </c>
      <c r="G463" t="n">
        <v>0.6493263127946585</v>
      </c>
      <c r="H463" t="n">
        <v>0.0121430512415734</v>
      </c>
      <c r="I463" t="n">
        <v>0.4958587889866401</v>
      </c>
      <c r="J463" t="n">
        <v>0.0010747025104378</v>
      </c>
      <c r="K463" t="n">
        <v>0.8977087607694715</v>
      </c>
      <c r="L463" t="b">
        <v>0</v>
      </c>
      <c r="M463" t="b">
        <v>0</v>
      </c>
      <c r="N463" t="inlineStr">
        <is>
          <t>ref</t>
        </is>
      </c>
      <c r="O463" t="n">
        <v>-90</v>
      </c>
      <c r="P463" t="n">
        <v>0.01097</v>
      </c>
      <c r="Q463" t="n">
        <v>-30</v>
      </c>
      <c r="R463" t="n">
        <v>0.02386</v>
      </c>
      <c r="S463">
        <f>IMAGE("https://mitra.stanford.edu/kundaje/oak/projects/neuro-variants/variant_position/credible/roussos_2024/variant_figures/roussos_2024.childhood.Astrocyte/rs17234749_count_position.png",4,220,900)</f>
        <v/>
      </c>
      <c r="T463">
        <f>IMAGE("https://mitra.stanford.edu/kundaje/oak/projects/neuro-variants/variant_position/credible/roussos_2024/variant_figures/roussos_2024.childhood.Astrocyte/rs17234749_profile_position.png",4,220,900)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0.01192120406</v>
      </c>
      <c r="G464" t="n">
        <v>0.6679797459452471</v>
      </c>
      <c r="H464" t="n">
        <v>0.0298174077169866</v>
      </c>
      <c r="I464" t="n">
        <v>0.0302275940819684</v>
      </c>
      <c r="J464" t="n">
        <v>0.020335386564692</v>
      </c>
      <c r="K464" t="n">
        <v>0.586306537725019</v>
      </c>
      <c r="L464" t="b">
        <v>0</v>
      </c>
      <c r="M464" t="b">
        <v>0</v>
      </c>
      <c r="N464" t="inlineStr">
        <is>
          <t>alt</t>
        </is>
      </c>
      <c r="O464" t="n">
        <v>95</v>
      </c>
      <c r="P464" t="n">
        <v>0.004894</v>
      </c>
      <c r="Q464" t="n">
        <v>-90</v>
      </c>
      <c r="R464" t="n">
        <v>0.1024</v>
      </c>
      <c r="S464">
        <f>IMAGE("https://mitra.stanford.edu/kundaje/oak/projects/neuro-variants/variant_position/credible/roussos_2024/variant_figures/roussos_2024.childhood.Astrocyte/rs1025883_count_position.png",4,220,900)</f>
        <v/>
      </c>
      <c r="T464">
        <f>IMAGE("https://mitra.stanford.edu/kundaje/oak/projects/neuro-variants/variant_position/credible/roussos_2024/variant_figures/roussos_2024.childhood.Astrocyte/rs1025883_profile_position.png",4,220,900)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-0.037113662</v>
      </c>
      <c r="G465" t="n">
        <v>0.332982396389697</v>
      </c>
      <c r="H465" t="n">
        <v>0.0335903546355758</v>
      </c>
      <c r="I465" t="n">
        <v>0.0192952255182408</v>
      </c>
      <c r="J465" t="n">
        <v>0.0457557646951065</v>
      </c>
      <c r="K465" t="n">
        <v>0.4593142791120108</v>
      </c>
      <c r="L465" t="b">
        <v>1</v>
      </c>
      <c r="M465" t="b">
        <v>0</v>
      </c>
      <c r="N465" t="inlineStr">
        <is>
          <t>ref</t>
        </is>
      </c>
      <c r="O465" t="n">
        <v>-65</v>
      </c>
      <c r="P465" t="n">
        <v>0.005142</v>
      </c>
      <c r="Q465" t="n">
        <v>70</v>
      </c>
      <c r="R465" t="n">
        <v>0.0462</v>
      </c>
      <c r="S465">
        <f>IMAGE("https://mitra.stanford.edu/kundaje/oak/projects/neuro-variants/variant_position/credible/roussos_2024/variant_figures/roussos_2024.childhood.Astrocyte/rs11027838_count_position.png",4,220,900)</f>
        <v/>
      </c>
      <c r="T465">
        <f>IMAGE("https://mitra.stanford.edu/kundaje/oak/projects/neuro-variants/variant_position/credible/roussos_2024/variant_figures/roussos_2024.childhood.Astrocyte/rs11027838_profile_position.png",4,220,900)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0.0731092739999999</v>
      </c>
      <c r="G466" t="n">
        <v>0.136727230922007</v>
      </c>
      <c r="H466" t="n">
        <v>0.0108135826317297</v>
      </c>
      <c r="I466" t="n">
        <v>0.619978335152878</v>
      </c>
      <c r="J466" t="n">
        <v>0.0178921175761183</v>
      </c>
      <c r="K466" t="n">
        <v>0.6255219864004031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0.06444999999999999</v>
      </c>
      <c r="Q466" t="n">
        <v>-65</v>
      </c>
      <c r="R466" t="n">
        <v>0.1956</v>
      </c>
      <c r="S466">
        <f>IMAGE("https://mitra.stanford.edu/kundaje/oak/projects/neuro-variants/variant_position/credible/roussos_2024/variant_figures/roussos_2024.childhood.Astrocyte/rs72875837_count_position.png",4,220,900)</f>
        <v/>
      </c>
      <c r="T466">
        <f>IMAGE("https://mitra.stanford.edu/kundaje/oak/projects/neuro-variants/variant_position/credible/roussos_2024/variant_figures/roussos_2024.childhood.Astrocyte/rs72875837_profile_position.png",4,220,900)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-0.0369247016</v>
      </c>
      <c r="G467" t="n">
        <v>0.2944668079082341</v>
      </c>
      <c r="H467" t="n">
        <v>0.0220277560091171</v>
      </c>
      <c r="I467" t="n">
        <v>0.0928766426952773</v>
      </c>
      <c r="J467" t="n">
        <v>0.0008724325066977</v>
      </c>
      <c r="K467" t="n">
        <v>0.9263455669991389</v>
      </c>
      <c r="L467" t="b">
        <v>0</v>
      </c>
      <c r="M467" t="b">
        <v>0</v>
      </c>
      <c r="N467" t="inlineStr">
        <is>
          <t>ref</t>
        </is>
      </c>
      <c r="O467" t="n">
        <v>65</v>
      </c>
      <c r="P467" t="n">
        <v>0.005863</v>
      </c>
      <c r="Q467" t="n">
        <v>90</v>
      </c>
      <c r="R467" t="n">
        <v>0.1635</v>
      </c>
      <c r="S467">
        <f>IMAGE("https://mitra.stanford.edu/kundaje/oak/projects/neuro-variants/variant_position/credible/roussos_2024/variant_figures/roussos_2024.childhood.Astrocyte/rs1470279_count_position.png",4,220,900)</f>
        <v/>
      </c>
      <c r="T467">
        <f>IMAGE("https://mitra.stanford.edu/kundaje/oak/projects/neuro-variants/variant_position/credible/roussos_2024/variant_figures/roussos_2024.childhood.Astrocyte/rs1470279_profile_position.png",4,220,900)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0.06928824240000001</v>
      </c>
      <c r="G468" t="n">
        <v>0.1697577970901288</v>
      </c>
      <c r="H468" t="n">
        <v>0.0130494810884556</v>
      </c>
      <c r="I468" t="n">
        <v>0.3996028804097728</v>
      </c>
      <c r="J468" t="n">
        <v>0.0531970109836428</v>
      </c>
      <c r="K468" t="n">
        <v>0.4378363281734077</v>
      </c>
      <c r="L468" t="b">
        <v>0</v>
      </c>
      <c r="M468" t="b">
        <v>0</v>
      </c>
      <c r="N468" t="inlineStr">
        <is>
          <t>alt</t>
        </is>
      </c>
      <c r="O468" t="n">
        <v>85</v>
      </c>
      <c r="P468" t="n">
        <v>0.02563</v>
      </c>
      <c r="Q468" t="n">
        <v>50</v>
      </c>
      <c r="R468" t="n">
        <v>0.05493</v>
      </c>
      <c r="S468">
        <f>IMAGE("https://mitra.stanford.edu/kundaje/oak/projects/neuro-variants/variant_position/credible/roussos_2024/variant_figures/roussos_2024.childhood.Astrocyte/rs35846200_count_position.png",4,220,900)</f>
        <v/>
      </c>
      <c r="T468">
        <f>IMAGE("https://mitra.stanford.edu/kundaje/oak/projects/neuro-variants/variant_position/credible/roussos_2024/variant_figures/roussos_2024.childhood.Astrocyte/rs35846200_profile_position.png",4,220,900)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0.0488025356</v>
      </c>
      <c r="G469" t="n">
        <v>0.2163659319513829</v>
      </c>
      <c r="H469" t="n">
        <v>0.008605812718930499</v>
      </c>
      <c r="I469" t="n">
        <v>0.8329095368974228</v>
      </c>
      <c r="J469" t="n">
        <v>0.0017715799195499</v>
      </c>
      <c r="K469" t="n">
        <v>0.8646878514547794</v>
      </c>
      <c r="L469" t="b">
        <v>0</v>
      </c>
      <c r="M469" t="b">
        <v>0</v>
      </c>
      <c r="N469" t="inlineStr">
        <is>
          <t>alt</t>
        </is>
      </c>
      <c r="O469" t="n">
        <v>-50</v>
      </c>
      <c r="P469" t="n">
        <v>0.002129</v>
      </c>
      <c r="Q469" t="n">
        <v>-85</v>
      </c>
      <c r="R469" t="n">
        <v>0.0743</v>
      </c>
      <c r="S469">
        <f>IMAGE("https://mitra.stanford.edu/kundaje/oak/projects/neuro-variants/variant_position/credible/roussos_2024/variant_figures/roussos_2024.childhood.Astrocyte/rs11027859_count_position.png",4,220,900)</f>
        <v/>
      </c>
      <c r="T469">
        <f>IMAGE("https://mitra.stanford.edu/kundaje/oak/projects/neuro-variants/variant_position/credible/roussos_2024/variant_figures/roussos_2024.childhood.Astrocyte/rs11027859_profile_position.png",4,220,900)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-0.000347023974</v>
      </c>
      <c r="G470" t="n">
        <v>0.6873131447698505</v>
      </c>
      <c r="H470" t="n">
        <v>0.018605319434299</v>
      </c>
      <c r="I470" t="n">
        <v>0.1569599250332946</v>
      </c>
      <c r="J470" t="n">
        <v>0.0511636249837802</v>
      </c>
      <c r="K470" t="n">
        <v>0.4480515302363784</v>
      </c>
      <c r="L470" t="b">
        <v>0</v>
      </c>
      <c r="M470" t="b">
        <v>0</v>
      </c>
      <c r="N470" t="inlineStr">
        <is>
          <t>ref</t>
        </is>
      </c>
      <c r="O470" t="n">
        <v>-80</v>
      </c>
      <c r="P470" t="n">
        <v>0.02438</v>
      </c>
      <c r="Q470" t="n">
        <v>5</v>
      </c>
      <c r="R470" t="n">
        <v>0.0232</v>
      </c>
      <c r="S470">
        <f>IMAGE("https://mitra.stanford.edu/kundaje/oak/projects/neuro-variants/variant_position/credible/roussos_2024/variant_figures/roussos_2024.childhood.Astrocyte/rs11027983_count_position.png",4,220,900)</f>
        <v/>
      </c>
      <c r="T470">
        <f>IMAGE("https://mitra.stanford.edu/kundaje/oak/projects/neuro-variants/variant_position/credible/roussos_2024/variant_figures/roussos_2024.childhood.Astrocyte/rs11027983_profile_position.png",4,220,900)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-0.0291645896</v>
      </c>
      <c r="G471" t="n">
        <v>0.1941393385073746</v>
      </c>
      <c r="H471" t="n">
        <v>0.0209794947198683</v>
      </c>
      <c r="I471" t="n">
        <v>0.1076102420606817</v>
      </c>
      <c r="J471" t="n">
        <v>0.0168517628021646</v>
      </c>
      <c r="K471" t="n">
        <v>0.6310121270917842</v>
      </c>
      <c r="L471" t="b">
        <v>0</v>
      </c>
      <c r="M471" t="b">
        <v>0</v>
      </c>
      <c r="N471" t="inlineStr">
        <is>
          <t>ref</t>
        </is>
      </c>
      <c r="O471" t="n">
        <v>-25</v>
      </c>
      <c r="P471" t="n">
        <v>0.006355</v>
      </c>
      <c r="Q471" t="n">
        <v>-40</v>
      </c>
      <c r="R471" t="n">
        <v>0.08495999999999999</v>
      </c>
      <c r="S471">
        <f>IMAGE("https://mitra.stanford.edu/kundaje/oak/projects/neuro-variants/variant_position/credible/roussos_2024/variant_figures/roussos_2024.childhood.Astrocyte/rs1396844_count_position.png",4,220,900)</f>
        <v/>
      </c>
      <c r="T471">
        <f>IMAGE("https://mitra.stanford.edu/kundaje/oak/projects/neuro-variants/variant_position/credible/roussos_2024/variant_figures/roussos_2024.childhood.Astrocyte/rs1396844_profile_position.png",4,220,900)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0.0602904093999999</v>
      </c>
      <c r="G472" t="n">
        <v>0.1645194696008515</v>
      </c>
      <c r="H472" t="n">
        <v>0.015060165923409</v>
      </c>
      <c r="I472" t="n">
        <v>0.2921115599136349</v>
      </c>
      <c r="J472" t="n">
        <v>0.0026470655583796</v>
      </c>
      <c r="K472" t="n">
        <v>0.841093319850296</v>
      </c>
      <c r="L472" t="b">
        <v>0</v>
      </c>
      <c r="M472" t="b">
        <v>0</v>
      </c>
      <c r="N472" t="inlineStr">
        <is>
          <t>alt</t>
        </is>
      </c>
      <c r="O472" t="n">
        <v>-60</v>
      </c>
      <c r="P472" t="n">
        <v>0.01233</v>
      </c>
      <c r="Q472" t="n">
        <v>-60</v>
      </c>
      <c r="R472" t="n">
        <v>0.185</v>
      </c>
      <c r="S472">
        <f>IMAGE("https://mitra.stanford.edu/kundaje/oak/projects/neuro-variants/variant_position/credible/roussos_2024/variant_figures/roussos_2024.childhood.Astrocyte/rs11028002_count_position.png",4,220,900)</f>
        <v/>
      </c>
      <c r="T472">
        <f>IMAGE("https://mitra.stanford.edu/kundaje/oak/projects/neuro-variants/variant_position/credible/roussos_2024/variant_figures/roussos_2024.childhood.Astrocyte/rs11028002_profile_position.png",4,220,900)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0.019454902</v>
      </c>
      <c r="G473" t="n">
        <v>0.5274207824751658</v>
      </c>
      <c r="H473" t="n">
        <v>0.0275631160385038</v>
      </c>
      <c r="I473" t="n">
        <v>0.0411923407583119</v>
      </c>
      <c r="J473" t="n">
        <v>0.0042079793608267</v>
      </c>
      <c r="K473" t="n">
        <v>0.8095288231495413</v>
      </c>
      <c r="L473" t="b">
        <v>0</v>
      </c>
      <c r="M473" t="b">
        <v>0</v>
      </c>
      <c r="N473" t="inlineStr">
        <is>
          <t>alt</t>
        </is>
      </c>
      <c r="O473" t="n">
        <v>-95</v>
      </c>
      <c r="P473" t="n">
        <v>0.0213</v>
      </c>
      <c r="Q473" t="n">
        <v>40</v>
      </c>
      <c r="R473" t="n">
        <v>0.04578</v>
      </c>
      <c r="S473">
        <f>IMAGE("https://mitra.stanford.edu/kundaje/oak/projects/neuro-variants/variant_position/credible/roussos_2024/variant_figures/roussos_2024.childhood.Astrocyte/rs11028007_count_position.png",4,220,900)</f>
        <v/>
      </c>
      <c r="T473">
        <f>IMAGE("https://mitra.stanford.edu/kundaje/oak/projects/neuro-variants/variant_position/credible/roussos_2024/variant_figures/roussos_2024.childhood.Astrocyte/rs11028007_profile_position.png",4,220,900)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0.030725564</v>
      </c>
      <c r="G474" t="n">
        <v>0.376909536474435</v>
      </c>
      <c r="H474" t="n">
        <v>0.0075557557339264</v>
      </c>
      <c r="I474" t="n">
        <v>0.9362783687316548</v>
      </c>
      <c r="J474" t="n">
        <v>0.0042636990222343</v>
      </c>
      <c r="K474" t="n">
        <v>0.8103216094238104</v>
      </c>
      <c r="L474" t="b">
        <v>0</v>
      </c>
      <c r="M474" t="b">
        <v>0</v>
      </c>
      <c r="N474" t="inlineStr">
        <is>
          <t>alt</t>
        </is>
      </c>
      <c r="O474" t="n">
        <v>-90</v>
      </c>
      <c r="P474" t="n">
        <v>0.006203</v>
      </c>
      <c r="Q474" t="n">
        <v>10</v>
      </c>
      <c r="R474" t="n">
        <v>0.005127</v>
      </c>
      <c r="S474">
        <f>IMAGE("https://mitra.stanford.edu/kundaje/oak/projects/neuro-variants/variant_position/credible/roussos_2024/variant_figures/roussos_2024.childhood.Astrocyte/rs10834383_count_position.png",4,220,900)</f>
        <v/>
      </c>
      <c r="T474">
        <f>IMAGE("https://mitra.stanford.edu/kundaje/oak/projects/neuro-variants/variant_position/credible/roussos_2024/variant_figures/roussos_2024.childhood.Astrocyte/rs10834383_profile_position.png",4,220,900)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-0.00524374842</v>
      </c>
      <c r="G475" t="n">
        <v>0.8153670203053643</v>
      </c>
      <c r="H475" t="n">
        <v>0.0083051812979427</v>
      </c>
      <c r="I475" t="n">
        <v>0.8661761683277516</v>
      </c>
      <c r="J475" t="n">
        <v>0.1047201422759573</v>
      </c>
      <c r="K475" t="n">
        <v>0.3178689545264191</v>
      </c>
      <c r="L475" t="b">
        <v>0</v>
      </c>
      <c r="M475" t="b">
        <v>0</v>
      </c>
      <c r="N475" t="inlineStr">
        <is>
          <t>ref</t>
        </is>
      </c>
      <c r="O475" t="n">
        <v>90</v>
      </c>
      <c r="P475" t="n">
        <v>0.02182</v>
      </c>
      <c r="Q475" t="n">
        <v>-65</v>
      </c>
      <c r="R475" t="n">
        <v>0.07480000000000001</v>
      </c>
      <c r="S475">
        <f>IMAGE("https://mitra.stanford.edu/kundaje/oak/projects/neuro-variants/variant_position/credible/roussos_2024/variant_figures/roussos_2024.childhood.Astrocyte/rs1509611_count_position.png",4,220,900)</f>
        <v/>
      </c>
      <c r="T475">
        <f>IMAGE("https://mitra.stanford.edu/kundaje/oak/projects/neuro-variants/variant_position/credible/roussos_2024/variant_figures/roussos_2024.childhood.Astrocyte/rs1509611_profile_position.png",4,220,900)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0.0543150154</v>
      </c>
      <c r="G476" t="n">
        <v>0.1867910294953073</v>
      </c>
      <c r="H476" t="n">
        <v>0.0082397626123492</v>
      </c>
      <c r="I476" t="n">
        <v>0.8843093012966553</v>
      </c>
      <c r="J476" t="n">
        <v>0.0069061848824162</v>
      </c>
      <c r="K476" t="n">
        <v>0.7393245973104355</v>
      </c>
      <c r="L476" t="b">
        <v>0</v>
      </c>
      <c r="M476" t="b">
        <v>0</v>
      </c>
      <c r="N476" t="inlineStr">
        <is>
          <t>alt</t>
        </is>
      </c>
      <c r="O476" t="n">
        <v>-100</v>
      </c>
      <c r="P476" t="n">
        <v>0.00946</v>
      </c>
      <c r="Q476" t="n">
        <v>25</v>
      </c>
      <c r="R476" t="n">
        <v>0.03873</v>
      </c>
      <c r="S476">
        <f>IMAGE("https://mitra.stanford.edu/kundaje/oak/projects/neuro-variants/variant_position/credible/roussos_2024/variant_figures/roussos_2024.childhood.Astrocyte/rs11028012_count_position.png",4,220,900)</f>
        <v/>
      </c>
      <c r="T476">
        <f>IMAGE("https://mitra.stanford.edu/kundaje/oak/projects/neuro-variants/variant_position/credible/roussos_2024/variant_figures/roussos_2024.childhood.Astrocyte/rs11028012_profile_position.png",4,220,900)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-0.0187946563999999</v>
      </c>
      <c r="G477" t="n">
        <v>0.5477546106743961</v>
      </c>
      <c r="H477" t="n">
        <v>0.0476951605786756</v>
      </c>
      <c r="I477" t="n">
        <v>0.0049484414127218</v>
      </c>
      <c r="J477" t="n">
        <v>0.0022997717783731</v>
      </c>
      <c r="K477" t="n">
        <v>0.8461970511338566</v>
      </c>
      <c r="L477" t="b">
        <v>0</v>
      </c>
      <c r="M477" t="b">
        <v>0</v>
      </c>
      <c r="N477" t="inlineStr">
        <is>
          <t>ref</t>
        </is>
      </c>
      <c r="O477" t="n">
        <v>-90</v>
      </c>
      <c r="P477" t="n">
        <v>0.00531</v>
      </c>
      <c r="Q477" t="n">
        <v>-100</v>
      </c>
      <c r="R477" t="n">
        <v>0.08386</v>
      </c>
      <c r="S477">
        <f>IMAGE("https://mitra.stanford.edu/kundaje/oak/projects/neuro-variants/variant_position/credible/roussos_2024/variant_figures/roussos_2024.childhood.Astrocyte/rs1509615_count_position.png",4,220,900)</f>
        <v/>
      </c>
      <c r="T477">
        <f>IMAGE("https://mitra.stanford.edu/kundaje/oak/projects/neuro-variants/variant_position/credible/roussos_2024/variant_figures/roussos_2024.childhood.Astrocyte/rs1509615_profile_position.png",4,220,900)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-0.0061124115599999</v>
      </c>
      <c r="G478" t="n">
        <v>0.8325831954059603</v>
      </c>
      <c r="H478" t="n">
        <v>0.008184555131660901</v>
      </c>
      <c r="I478" t="n">
        <v>0.8923446165839863</v>
      </c>
      <c r="J478" t="n">
        <v>0.0027180508804469</v>
      </c>
      <c r="K478" t="n">
        <v>0.8305015720190034</v>
      </c>
      <c r="L478" t="b">
        <v>0</v>
      </c>
      <c r="M478" t="b">
        <v>0</v>
      </c>
      <c r="N478" t="inlineStr">
        <is>
          <t>ref</t>
        </is>
      </c>
      <c r="O478" t="n">
        <v>5</v>
      </c>
      <c r="P478" t="n">
        <v>0.0029</v>
      </c>
      <c r="Q478" t="n">
        <v>-100</v>
      </c>
      <c r="R478" t="n">
        <v>0.09143</v>
      </c>
      <c r="S478">
        <f>IMAGE("https://mitra.stanford.edu/kundaje/oak/projects/neuro-variants/variant_position/credible/roussos_2024/variant_figures/roussos_2024.childhood.Astrocyte/rs6484058_count_position.png",4,220,900)</f>
        <v/>
      </c>
      <c r="T478">
        <f>IMAGE("https://mitra.stanford.edu/kundaje/oak/projects/neuro-variants/variant_position/credible/roussos_2024/variant_figures/roussos_2024.childhood.Astrocyte/rs6484058_profile_position.png",4,220,900)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0.02559803992</v>
      </c>
      <c r="G479" t="n">
        <v>0.425607126091185</v>
      </c>
      <c r="H479" t="n">
        <v>0.0105720164469503</v>
      </c>
      <c r="I479" t="n">
        <v>0.6465937443154431</v>
      </c>
      <c r="J479" t="n">
        <v>0.0143367452084907</v>
      </c>
      <c r="K479" t="n">
        <v>0.6452903265542494</v>
      </c>
      <c r="L479" t="b">
        <v>0</v>
      </c>
      <c r="M479" t="b">
        <v>0</v>
      </c>
      <c r="N479" t="inlineStr">
        <is>
          <t>alt</t>
        </is>
      </c>
      <c r="O479" t="n">
        <v>-65</v>
      </c>
      <c r="P479" t="n">
        <v>0.0009155</v>
      </c>
      <c r="Q479" t="n">
        <v>100</v>
      </c>
      <c r="R479" t="n">
        <v>0.1342</v>
      </c>
      <c r="S479">
        <f>IMAGE("https://mitra.stanford.edu/kundaje/oak/projects/neuro-variants/variant_position/credible/roussos_2024/variant_figures/roussos_2024.childhood.Astrocyte/rs11028020_count_position.png",4,220,900)</f>
        <v/>
      </c>
      <c r="T479">
        <f>IMAGE("https://mitra.stanford.edu/kundaje/oak/projects/neuro-variants/variant_position/credible/roussos_2024/variant_figures/roussos_2024.childhood.Astrocyte/rs11028020_profile_position.png",4,220,900)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0.00548358718</v>
      </c>
      <c r="G480" t="n">
        <v>0.8206372111965243</v>
      </c>
      <c r="H480" t="n">
        <v>0.0269249667902614</v>
      </c>
      <c r="I480" t="n">
        <v>0.0445891597283654</v>
      </c>
      <c r="J480" t="n">
        <v>0.0112378160945859</v>
      </c>
      <c r="K480" t="n">
        <v>0.6754556717758147</v>
      </c>
      <c r="L480" t="b">
        <v>0</v>
      </c>
      <c r="M480" t="b">
        <v>0</v>
      </c>
      <c r="N480" t="inlineStr">
        <is>
          <t>alt</t>
        </is>
      </c>
      <c r="O480" t="n">
        <v>-70</v>
      </c>
      <c r="P480" t="n">
        <v>0.003479</v>
      </c>
      <c r="Q480" t="n">
        <v>-100</v>
      </c>
      <c r="R480" t="n">
        <v>0.06419999999999999</v>
      </c>
      <c r="S480">
        <f>IMAGE("https://mitra.stanford.edu/kundaje/oak/projects/neuro-variants/variant_position/credible/roussos_2024/variant_figures/roussos_2024.childhood.Astrocyte/rs34167424_count_position.png",4,220,900)</f>
        <v/>
      </c>
      <c r="T480">
        <f>IMAGE("https://mitra.stanford.edu/kundaje/oak/projects/neuro-variants/variant_position/credible/roussos_2024/variant_figures/roussos_2024.childhood.Astrocyte/rs34167424_profile_position.png",4,220,900)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-0.0161708107999999</v>
      </c>
      <c r="G481" t="n">
        <v>0.598132925584559</v>
      </c>
      <c r="H481" t="n">
        <v>0.0331468467313701</v>
      </c>
      <c r="I481" t="n">
        <v>0.0200829966661274</v>
      </c>
      <c r="J481" t="n">
        <v>0.0019021013181897</v>
      </c>
      <c r="K481" t="n">
        <v>0.8792728480385085</v>
      </c>
      <c r="L481" t="b">
        <v>0</v>
      </c>
      <c r="M481" t="b">
        <v>0</v>
      </c>
      <c r="N481" t="inlineStr">
        <is>
          <t>ref</t>
        </is>
      </c>
      <c r="O481" t="n">
        <v>-35</v>
      </c>
      <c r="P481" t="n">
        <v>7.25e-05</v>
      </c>
      <c r="Q481" t="n">
        <v>0</v>
      </c>
      <c r="R481" t="n">
        <v>0</v>
      </c>
      <c r="S481">
        <f>IMAGE("https://mitra.stanford.edu/kundaje/oak/projects/neuro-variants/variant_position/credible/roussos_2024/variant_figures/roussos_2024.childhood.Astrocyte/rs1876822_count_position.png",4,220,900)</f>
        <v/>
      </c>
      <c r="T481">
        <f>IMAGE("https://mitra.stanford.edu/kundaje/oak/projects/neuro-variants/variant_position/credible/roussos_2024/variant_figures/roussos_2024.childhood.Astrocyte/rs1876822_profile_position.png",4,220,900)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-0.0192304892</v>
      </c>
      <c r="G482" t="n">
        <v>0.5553377275615718</v>
      </c>
      <c r="H482" t="n">
        <v>0.0231176857867395</v>
      </c>
      <c r="I482" t="n">
        <v>0.0778685385126594</v>
      </c>
      <c r="J482" t="n">
        <v>0.0104577408348789</v>
      </c>
      <c r="K482" t="n">
        <v>0.6844529410058161</v>
      </c>
      <c r="L482" t="b">
        <v>0</v>
      </c>
      <c r="M482" t="b">
        <v>0</v>
      </c>
      <c r="N482" t="inlineStr">
        <is>
          <t>ref</t>
        </is>
      </c>
      <c r="O482" t="n">
        <v>100</v>
      </c>
      <c r="P482" t="n">
        <v>0.01959</v>
      </c>
      <c r="Q482" t="n">
        <v>-35</v>
      </c>
      <c r="R482" t="n">
        <v>0.05823</v>
      </c>
      <c r="S482">
        <f>IMAGE("https://mitra.stanford.edu/kundaje/oak/projects/neuro-variants/variant_position/credible/roussos_2024/variant_figures/roussos_2024.childhood.Astrocyte/rs1509588_count_position.png",4,220,900)</f>
        <v/>
      </c>
      <c r="T482">
        <f>IMAGE("https://mitra.stanford.edu/kundaje/oak/projects/neuro-variants/variant_position/credible/roussos_2024/variant_figures/roussos_2024.childhood.Astrocyte/rs1509588_profile_position.png",4,220,900)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0.0222156926199999</v>
      </c>
      <c r="G483" t="n">
        <v>0.4825963620256226</v>
      </c>
      <c r="H483" t="n">
        <v>0.0264377102592477</v>
      </c>
      <c r="I483" t="n">
        <v>0.0486881451535397</v>
      </c>
      <c r="J483" t="n">
        <v>0.0463381496492713</v>
      </c>
      <c r="K483" t="n">
        <v>0.4538388071807804</v>
      </c>
      <c r="L483" t="b">
        <v>0</v>
      </c>
      <c r="M483" t="b">
        <v>0</v>
      </c>
      <c r="N483" t="inlineStr">
        <is>
          <t>alt</t>
        </is>
      </c>
      <c r="O483" t="n">
        <v>-40</v>
      </c>
      <c r="P483" t="n">
        <v>0.001282</v>
      </c>
      <c r="Q483" t="n">
        <v>70</v>
      </c>
      <c r="R483" t="n">
        <v>0.01807</v>
      </c>
      <c r="S483">
        <f>IMAGE("https://mitra.stanford.edu/kundaje/oak/projects/neuro-variants/variant_position/credible/roussos_2024/variant_figures/roussos_2024.childhood.Astrocyte/rs10834390_count_position.png",4,220,900)</f>
        <v/>
      </c>
      <c r="T483">
        <f>IMAGE("https://mitra.stanford.edu/kundaje/oak/projects/neuro-variants/variant_position/credible/roussos_2024/variant_figures/roussos_2024.childhood.Astrocyte/rs10834390_profile_position.png",4,220,900)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0.0205052976</v>
      </c>
      <c r="G484" t="n">
        <v>0.5025851375715128</v>
      </c>
      <c r="H484" t="n">
        <v>0.0139974941626719</v>
      </c>
      <c r="I484" t="n">
        <v>0.3577966717083749</v>
      </c>
      <c r="J484" t="n">
        <v>0.006296321739064</v>
      </c>
      <c r="K484" t="n">
        <v>0.7520018833208704</v>
      </c>
      <c r="L484" t="b">
        <v>0</v>
      </c>
      <c r="M484" t="b">
        <v>0</v>
      </c>
      <c r="N484" t="inlineStr">
        <is>
          <t>alt</t>
        </is>
      </c>
      <c r="O484" t="n">
        <v>-100</v>
      </c>
      <c r="P484" t="n">
        <v>0.009705</v>
      </c>
      <c r="Q484" t="n">
        <v>5</v>
      </c>
      <c r="R484" t="n">
        <v>0.008484</v>
      </c>
      <c r="S484">
        <f>IMAGE("https://mitra.stanford.edu/kundaje/oak/projects/neuro-variants/variant_position/credible/roussos_2024/variant_figures/roussos_2024.childhood.Astrocyte/rs10767214_count_position.png",4,220,900)</f>
        <v/>
      </c>
      <c r="T484">
        <f>IMAGE("https://mitra.stanford.edu/kundaje/oak/projects/neuro-variants/variant_position/credible/roussos_2024/variant_figures/roussos_2024.childhood.Astrocyte/rs10767214_profile_position.png",4,220,900)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-0.0282271587999999</v>
      </c>
      <c r="G485" t="n">
        <v>0.4083294371232681</v>
      </c>
      <c r="H485" t="n">
        <v>0.008111173480528099</v>
      </c>
      <c r="I485" t="n">
        <v>0.898501730752194</v>
      </c>
      <c r="J485" t="n">
        <v>0.0063192202300534</v>
      </c>
      <c r="K485" t="n">
        <v>0.7686560126058186</v>
      </c>
      <c r="L485" t="b">
        <v>0</v>
      </c>
      <c r="M485" t="b">
        <v>0</v>
      </c>
      <c r="N485" t="inlineStr">
        <is>
          <t>ref</t>
        </is>
      </c>
      <c r="O485" t="n">
        <v>50</v>
      </c>
      <c r="P485" t="n">
        <v>0.001648</v>
      </c>
      <c r="Q485" t="n">
        <v>45</v>
      </c>
      <c r="R485" t="n">
        <v>0.1012</v>
      </c>
      <c r="S485">
        <f>IMAGE("https://mitra.stanford.edu/kundaje/oak/projects/neuro-variants/variant_position/credible/roussos_2024/variant_figures/roussos_2024.childhood.Astrocyte/rs7118822_count_position.png",4,220,900)</f>
        <v/>
      </c>
      <c r="T485">
        <f>IMAGE("https://mitra.stanford.edu/kundaje/oak/projects/neuro-variants/variant_position/credible/roussos_2024/variant_figures/roussos_2024.childhood.Astrocyte/rs7118822_profile_position.png",4,220,900)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-0.1188651447999999</v>
      </c>
      <c r="G486" t="n">
        <v>0.0516529189160428</v>
      </c>
      <c r="H486" t="n">
        <v>0.0183228224506233</v>
      </c>
      <c r="I486" t="n">
        <v>0.1657055191975135</v>
      </c>
      <c r="J486" t="n">
        <v>0.0159915428239945</v>
      </c>
      <c r="K486" t="n">
        <v>0.6378987290017194</v>
      </c>
      <c r="L486" t="b">
        <v>0</v>
      </c>
      <c r="M486" t="b">
        <v>0</v>
      </c>
      <c r="N486" t="inlineStr">
        <is>
          <t>ref</t>
        </is>
      </c>
      <c r="O486" t="n">
        <v>75</v>
      </c>
      <c r="P486" t="n">
        <v>0.00717</v>
      </c>
      <c r="Q486" t="n">
        <v>85</v>
      </c>
      <c r="R486" t="n">
        <v>0.1161</v>
      </c>
      <c r="S486">
        <f>IMAGE("https://mitra.stanford.edu/kundaje/oak/projects/neuro-variants/variant_position/credible/roussos_2024/variant_figures/roussos_2024.childhood.Astrocyte/rs1396842_count_position.png",4,220,900)</f>
        <v/>
      </c>
      <c r="T486">
        <f>IMAGE("https://mitra.stanford.edu/kundaje/oak/projects/neuro-variants/variant_position/credible/roussos_2024/variant_figures/roussos_2024.childhood.Astrocyte/rs1396842_profile_position.png",4,220,900)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0.0160210553</v>
      </c>
      <c r="G487" t="n">
        <v>0.5889558892580787</v>
      </c>
      <c r="H487" t="n">
        <v>0.0114798598083625</v>
      </c>
      <c r="I487" t="n">
        <v>0.5633768495288288</v>
      </c>
      <c r="J487" t="n">
        <v>0.034207292406097</v>
      </c>
      <c r="K487" t="n">
        <v>0.5101212189756943</v>
      </c>
      <c r="L487" t="b">
        <v>0</v>
      </c>
      <c r="M487" t="b">
        <v>0</v>
      </c>
      <c r="N487" t="inlineStr">
        <is>
          <t>alt</t>
        </is>
      </c>
      <c r="O487" t="n">
        <v>25</v>
      </c>
      <c r="P487" t="n">
        <v>0.001556</v>
      </c>
      <c r="Q487" t="n">
        <v>90</v>
      </c>
      <c r="R487" t="n">
        <v>0.05127</v>
      </c>
      <c r="S487">
        <f>IMAGE("https://mitra.stanford.edu/kundaje/oak/projects/neuro-variants/variant_position/credible/roussos_2024/variant_figures/roussos_2024.childhood.Astrocyte/rs7113337_count_position.png",4,220,900)</f>
        <v/>
      </c>
      <c r="T487">
        <f>IMAGE("https://mitra.stanford.edu/kundaje/oak/projects/neuro-variants/variant_position/credible/roussos_2024/variant_figures/roussos_2024.childhood.Astrocyte/rs7113337_profile_position.png",4,220,900)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-0.023922908</v>
      </c>
      <c r="G488" t="n">
        <v>0.4663291068969505</v>
      </c>
      <c r="H488" t="n">
        <v>0.007950419066350901</v>
      </c>
      <c r="I488" t="n">
        <v>0.9141838282707232</v>
      </c>
      <c r="J488" t="n">
        <v>0.0053322952684084</v>
      </c>
      <c r="K488" t="n">
        <v>0.7695492747927112</v>
      </c>
      <c r="L488" t="b">
        <v>0</v>
      </c>
      <c r="M488" t="b">
        <v>0</v>
      </c>
      <c r="N488" t="inlineStr">
        <is>
          <t>ref</t>
        </is>
      </c>
      <c r="O488" t="n">
        <v>20</v>
      </c>
      <c r="P488" t="n">
        <v>0.02226</v>
      </c>
      <c r="Q488" t="n">
        <v>90</v>
      </c>
      <c r="R488" t="n">
        <v>0.04028</v>
      </c>
      <c r="S488">
        <f>IMAGE("https://mitra.stanford.edu/kundaje/oak/projects/neuro-variants/variant_position/credible/roussos_2024/variant_figures/roussos_2024.childhood.Astrocyte/rs11606190_count_position.png",4,220,900)</f>
        <v/>
      </c>
      <c r="T488">
        <f>IMAGE("https://mitra.stanford.edu/kundaje/oak/projects/neuro-variants/variant_position/credible/roussos_2024/variant_figures/roussos_2024.childhood.Astrocyte/rs11606190_profile_position.png",4,220,900)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0.00742892802</v>
      </c>
      <c r="G489" t="n">
        <v>0.6801954468302693</v>
      </c>
      <c r="H489" t="n">
        <v>0.0292233875087432</v>
      </c>
      <c r="I489" t="n">
        <v>0.0331430027354197</v>
      </c>
      <c r="J489" t="n">
        <v>0.009382275041407999</v>
      </c>
      <c r="K489" t="n">
        <v>0.7032147231454693</v>
      </c>
      <c r="L489" t="b">
        <v>0</v>
      </c>
      <c r="M489" t="b">
        <v>0</v>
      </c>
      <c r="N489" t="inlineStr">
        <is>
          <t>alt</t>
        </is>
      </c>
      <c r="O489" t="n">
        <v>80</v>
      </c>
      <c r="P489" t="n">
        <v>0.01584</v>
      </c>
      <c r="Q489" t="n">
        <v>50</v>
      </c>
      <c r="R489" t="n">
        <v>0.02905</v>
      </c>
      <c r="S489">
        <f>IMAGE("https://mitra.stanford.edu/kundaje/oak/projects/neuro-variants/variant_position/credible/roussos_2024/variant_figures/roussos_2024.childhood.Astrocyte/rs12273233_count_position.png",4,220,900)</f>
        <v/>
      </c>
      <c r="T489">
        <f>IMAGE("https://mitra.stanford.edu/kundaje/oak/projects/neuro-variants/variant_position/credible/roussos_2024/variant_figures/roussos_2024.childhood.Astrocyte/rs12273233_profile_position.png",4,220,900)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0.009579109719999999</v>
      </c>
      <c r="G490" t="n">
        <v>0.730711708160694</v>
      </c>
      <c r="H490" t="n">
        <v>0.0238507078285028</v>
      </c>
      <c r="I490" t="n">
        <v>0.0699233302272011</v>
      </c>
      <c r="J490" t="n">
        <v>0.0133956172288246</v>
      </c>
      <c r="K490" t="n">
        <v>0.6549009273369109</v>
      </c>
      <c r="L490" t="b">
        <v>0</v>
      </c>
      <c r="M490" t="b">
        <v>0</v>
      </c>
      <c r="N490" t="inlineStr">
        <is>
          <t>alt</t>
        </is>
      </c>
      <c r="O490" t="n">
        <v>100</v>
      </c>
      <c r="P490" t="n">
        <v>0.08636000000000001</v>
      </c>
      <c r="Q490" t="n">
        <v>-45</v>
      </c>
      <c r="R490" t="n">
        <v>0.1461</v>
      </c>
      <c r="S490">
        <f>IMAGE("https://mitra.stanford.edu/kundaje/oak/projects/neuro-variants/variant_position/credible/roussos_2024/variant_figures/roussos_2024.childhood.Astrocyte/rs12292666_count_position.png",4,220,900)</f>
        <v/>
      </c>
      <c r="T490">
        <f>IMAGE("https://mitra.stanford.edu/kundaje/oak/projects/neuro-variants/variant_position/credible/roussos_2024/variant_figures/roussos_2024.childhood.Astrocyte/rs12292666_profile_position.png",4,220,900)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-0.01204986896</v>
      </c>
      <c r="G491" t="n">
        <v>0.6810267727988578</v>
      </c>
      <c r="H491" t="n">
        <v>0.011137717366045</v>
      </c>
      <c r="I491" t="n">
        <v>0.6031279742379357</v>
      </c>
      <c r="J491" t="n">
        <v>0.0033393632692938</v>
      </c>
      <c r="K491" t="n">
        <v>0.822640977922161</v>
      </c>
      <c r="L491" t="b">
        <v>0</v>
      </c>
      <c r="M491" t="b">
        <v>0</v>
      </c>
      <c r="N491" t="inlineStr">
        <is>
          <t>ref</t>
        </is>
      </c>
      <c r="O491" t="n">
        <v>90</v>
      </c>
      <c r="P491" t="n">
        <v>0.01817</v>
      </c>
      <c r="Q491" t="n">
        <v>10</v>
      </c>
      <c r="R491" t="n">
        <v>0.014404</v>
      </c>
      <c r="S491">
        <f>IMAGE("https://mitra.stanford.edu/kundaje/oak/projects/neuro-variants/variant_position/credible/roussos_2024/variant_figures/roussos_2024.childhood.Astrocyte/rs12278238_count_position.png",4,220,900)</f>
        <v/>
      </c>
      <c r="T491">
        <f>IMAGE("https://mitra.stanford.edu/kundaje/oak/projects/neuro-variants/variant_position/credible/roussos_2024/variant_figures/roussos_2024.childhood.Astrocyte/rs12278238_profile_position.png",4,220,900)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0.0492172662</v>
      </c>
      <c r="G492" t="n">
        <v>0.2138750206130305</v>
      </c>
      <c r="H492" t="n">
        <v>0.0363412209108588</v>
      </c>
      <c r="I492" t="n">
        <v>0.0140899808896048</v>
      </c>
      <c r="J492" t="n">
        <v>0.004609466236175</v>
      </c>
      <c r="K492" t="n">
        <v>0.7848708599820028</v>
      </c>
      <c r="L492" t="b">
        <v>0</v>
      </c>
      <c r="M492" t="b">
        <v>0</v>
      </c>
      <c r="N492" t="inlineStr">
        <is>
          <t>alt</t>
        </is>
      </c>
      <c r="O492" t="n">
        <v>-55</v>
      </c>
      <c r="P492" t="n">
        <v>0.00647</v>
      </c>
      <c r="Q492" t="n">
        <v>-100</v>
      </c>
      <c r="R492" t="n">
        <v>0.0965</v>
      </c>
      <c r="S492">
        <f>IMAGE("https://mitra.stanford.edu/kundaje/oak/projects/neuro-variants/variant_position/credible/roussos_2024/variant_figures/roussos_2024.childhood.Astrocyte/rs113123159_count_position.png",4,220,900)</f>
        <v/>
      </c>
      <c r="T492">
        <f>IMAGE("https://mitra.stanford.edu/kundaje/oak/projects/neuro-variants/variant_position/credible/roussos_2024/variant_figures/roussos_2024.childhood.Astrocyte/rs113123159_profile_position.png",4,220,900)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0.0058678401999999</v>
      </c>
      <c r="G493" t="n">
        <v>0.3906285198595925</v>
      </c>
      <c r="H493" t="n">
        <v>0.0075868457062403</v>
      </c>
      <c r="I493" t="n">
        <v>0.9158510532023464</v>
      </c>
      <c r="J493" t="n">
        <v>0.0561242014151266</v>
      </c>
      <c r="K493" t="n">
        <v>0.4270350562860215</v>
      </c>
      <c r="L493" t="b">
        <v>0</v>
      </c>
      <c r="M493" t="b">
        <v>0</v>
      </c>
      <c r="N493" t="inlineStr">
        <is>
          <t>alt</t>
        </is>
      </c>
      <c r="O493" t="n">
        <v>75</v>
      </c>
      <c r="P493" t="n">
        <v>0.005745</v>
      </c>
      <c r="Q493" t="n">
        <v>100</v>
      </c>
      <c r="R493" t="n">
        <v>0.3135</v>
      </c>
      <c r="S493">
        <f>IMAGE("https://mitra.stanford.edu/kundaje/oak/projects/neuro-variants/variant_position/credible/roussos_2024/variant_figures/roussos_2024.childhood.Astrocyte/rs17244352_count_position.png",4,220,900)</f>
        <v/>
      </c>
      <c r="T493">
        <f>IMAGE("https://mitra.stanford.edu/kundaje/oak/projects/neuro-variants/variant_position/credible/roussos_2024/variant_figures/roussos_2024.childhood.Astrocyte/rs17244352_profile_position.png",4,220,900)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0.123386754</v>
      </c>
      <c r="G494" t="n">
        <v>0.0571784132411676</v>
      </c>
      <c r="H494" t="n">
        <v>0.0166654018848959</v>
      </c>
      <c r="I494" t="n">
        <v>0.2266936638197931</v>
      </c>
      <c r="J494" t="n">
        <v>0.0998771114316899</v>
      </c>
      <c r="K494" t="n">
        <v>0.3315356535118057</v>
      </c>
      <c r="L494" t="b">
        <v>0</v>
      </c>
      <c r="M494" t="b">
        <v>0</v>
      </c>
      <c r="N494" t="inlineStr">
        <is>
          <t>alt</t>
        </is>
      </c>
      <c r="O494" t="n">
        <v>85</v>
      </c>
      <c r="P494" t="n">
        <v>0.0184</v>
      </c>
      <c r="Q494" t="n">
        <v>55</v>
      </c>
      <c r="R494" t="n">
        <v>0.04248</v>
      </c>
      <c r="S494">
        <f>IMAGE("https://mitra.stanford.edu/kundaje/oak/projects/neuro-variants/variant_position/credible/roussos_2024/variant_figures/roussos_2024.childhood.Astrocyte/rs12284362_count_position.png",4,220,900)</f>
        <v/>
      </c>
      <c r="T494">
        <f>IMAGE("https://mitra.stanford.edu/kundaje/oak/projects/neuro-variants/variant_position/credible/roussos_2024/variant_figures/roussos_2024.childhood.Astrocyte/rs12284362_profile_position.png",4,220,900)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-0.15548875</v>
      </c>
      <c r="G495" t="n">
        <v>0.0297368711656341</v>
      </c>
      <c r="H495" t="n">
        <v>0.0229764153024349</v>
      </c>
      <c r="I495" t="n">
        <v>0.079510272731582</v>
      </c>
      <c r="J495" t="n">
        <v>0.0255257111889659</v>
      </c>
      <c r="K495" t="n">
        <v>0.5605744820771607</v>
      </c>
      <c r="L495" t="b">
        <v>0</v>
      </c>
      <c r="M495" t="b">
        <v>0</v>
      </c>
      <c r="N495" t="inlineStr">
        <is>
          <t>ref</t>
        </is>
      </c>
      <c r="O495" t="n">
        <v>95</v>
      </c>
      <c r="P495" t="n">
        <v>0.01141</v>
      </c>
      <c r="Q495" t="n">
        <v>45</v>
      </c>
      <c r="R495" t="n">
        <v>0.049</v>
      </c>
      <c r="S495">
        <f>IMAGE("https://mitra.stanford.edu/kundaje/oak/projects/neuro-variants/variant_position/credible/roussos_2024/variant_figures/roussos_2024.childhood.Astrocyte/rs11030238_count_position.png",4,220,900)</f>
        <v/>
      </c>
      <c r="T495">
        <f>IMAGE("https://mitra.stanford.edu/kundaje/oak/projects/neuro-variants/variant_position/credible/roussos_2024/variant_figures/roussos_2024.childhood.Astrocyte/rs11030238_profile_position.png",4,220,900)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-0.0175733609</v>
      </c>
      <c r="G496" t="n">
        <v>0.5854792839779414</v>
      </c>
      <c r="H496" t="n">
        <v>0.0276093020170231</v>
      </c>
      <c r="I496" t="n">
        <v>0.041130705605389</v>
      </c>
      <c r="J496" t="n">
        <v>0.0057459946722843</v>
      </c>
      <c r="K496" t="n">
        <v>0.7564156206330108</v>
      </c>
      <c r="L496" t="b">
        <v>0</v>
      </c>
      <c r="M496" t="b">
        <v>0</v>
      </c>
      <c r="N496" t="inlineStr">
        <is>
          <t>ref</t>
        </is>
      </c>
      <c r="O496" t="n">
        <v>100</v>
      </c>
      <c r="P496" t="n">
        <v>0.02132</v>
      </c>
      <c r="Q496" t="n">
        <v>-100</v>
      </c>
      <c r="R496" t="n">
        <v>0.08119999999999999</v>
      </c>
      <c r="S496">
        <f>IMAGE("https://mitra.stanford.edu/kundaje/oak/projects/neuro-variants/variant_position/credible/roussos_2024/variant_figures/roussos_2024.childhood.Astrocyte/rs11030247_count_position.png",4,220,900)</f>
        <v/>
      </c>
      <c r="T496">
        <f>IMAGE("https://mitra.stanford.edu/kundaje/oak/projects/neuro-variants/variant_position/credible/roussos_2024/variant_figures/roussos_2024.childhood.Astrocyte/rs11030247_profile_position.png",4,220,900)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0.0629142176</v>
      </c>
      <c r="G497" t="n">
        <v>0.1510911837535821</v>
      </c>
      <c r="H497" t="n">
        <v>0.0095423219815445</v>
      </c>
      <c r="I497" t="n">
        <v>0.771535846794683</v>
      </c>
      <c r="J497" t="n">
        <v>0.0007464908062558</v>
      </c>
      <c r="K497" t="n">
        <v>0.9489419582412616</v>
      </c>
      <c r="L497" t="b">
        <v>0</v>
      </c>
      <c r="M497" t="b">
        <v>0</v>
      </c>
      <c r="N497" t="inlineStr">
        <is>
          <t>alt</t>
        </is>
      </c>
      <c r="O497" t="n">
        <v>55</v>
      </c>
      <c r="P497" t="n">
        <v>0.01053</v>
      </c>
      <c r="Q497" t="n">
        <v>100</v>
      </c>
      <c r="R497" t="n">
        <v>0.1294</v>
      </c>
      <c r="S497">
        <f>IMAGE("https://mitra.stanford.edu/kundaje/oak/projects/neuro-variants/variant_position/credible/roussos_2024/variant_figures/roussos_2024.childhood.Astrocyte/rs6484357_count_position.png",4,220,900)</f>
        <v/>
      </c>
      <c r="T497">
        <f>IMAGE("https://mitra.stanford.edu/kundaje/oak/projects/neuro-variants/variant_position/credible/roussos_2024/variant_figures/roussos_2024.childhood.Astrocyte/rs6484357_profile_position.png",4,220,900)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-0.0218008658</v>
      </c>
      <c r="G498" t="n">
        <v>0.321091703007379</v>
      </c>
      <c r="H498" t="n">
        <v>0.009477649630179901</v>
      </c>
      <c r="I498" t="n">
        <v>0.7679473693978451</v>
      </c>
      <c r="J498" t="n">
        <v>0.0176478670055643</v>
      </c>
      <c r="K498" t="n">
        <v>0.6440766399189399</v>
      </c>
      <c r="L498" t="b">
        <v>0</v>
      </c>
      <c r="M498" t="b">
        <v>0</v>
      </c>
      <c r="N498" t="inlineStr">
        <is>
          <t>ref</t>
        </is>
      </c>
      <c r="O498" t="n">
        <v>30</v>
      </c>
      <c r="P498" t="n">
        <v>0.003256</v>
      </c>
      <c r="Q498" t="n">
        <v>30</v>
      </c>
      <c r="R498" t="n">
        <v>0.0674</v>
      </c>
      <c r="S498">
        <f>IMAGE("https://mitra.stanford.edu/kundaje/oak/projects/neuro-variants/variant_position/credible/roussos_2024/variant_figures/roussos_2024.childhood.Astrocyte/rs11030297_count_position.png",4,220,900)</f>
        <v/>
      </c>
      <c r="T498">
        <f>IMAGE("https://mitra.stanford.edu/kundaje/oak/projects/neuro-variants/variant_position/credible/roussos_2024/variant_figures/roussos_2024.childhood.Astrocyte/rs11030297_profile_position.png",4,220,900)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-0.042203906</v>
      </c>
      <c r="G499" t="n">
        <v>0.2734528703564354</v>
      </c>
      <c r="H499" t="n">
        <v>0.0106942294386976</v>
      </c>
      <c r="I499" t="n">
        <v>0.6451196644003218</v>
      </c>
      <c r="J499" t="n">
        <v>0.0300458733102821</v>
      </c>
      <c r="K499" t="n">
        <v>0.5482575158227332</v>
      </c>
      <c r="L499" t="b">
        <v>0</v>
      </c>
      <c r="M499" t="b">
        <v>0</v>
      </c>
      <c r="N499" t="inlineStr">
        <is>
          <t>ref</t>
        </is>
      </c>
      <c r="O499" t="n">
        <v>-90</v>
      </c>
      <c r="P499" t="n">
        <v>0.002998</v>
      </c>
      <c r="Q499" t="n">
        <v>65</v>
      </c>
      <c r="R499" t="n">
        <v>0.03937</v>
      </c>
      <c r="S499">
        <f>IMAGE("https://mitra.stanford.edu/kundaje/oak/projects/neuro-variants/variant_position/credible/roussos_2024/variant_figures/roussos_2024.childhood.Astrocyte/rs7124325_count_position.png",4,220,900)</f>
        <v/>
      </c>
      <c r="T499">
        <f>IMAGE("https://mitra.stanford.edu/kundaje/oak/projects/neuro-variants/variant_position/credible/roussos_2024/variant_figures/roussos_2024.childhood.Astrocyte/rs7124325_profile_position.png",4,220,900)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0.013707449</v>
      </c>
      <c r="G500" t="n">
        <v>0.6430709491150869</v>
      </c>
      <c r="H500" t="n">
        <v>0.0253845983216544</v>
      </c>
      <c r="I500" t="n">
        <v>0.0560231800405069</v>
      </c>
      <c r="J500" t="n">
        <v>0.0008457176005434</v>
      </c>
      <c r="K500" t="n">
        <v>0.92969082893722</v>
      </c>
      <c r="L500" t="b">
        <v>0</v>
      </c>
      <c r="M500" t="b">
        <v>0</v>
      </c>
      <c r="N500" t="inlineStr">
        <is>
          <t>alt</t>
        </is>
      </c>
      <c r="O500" t="n">
        <v>-25</v>
      </c>
      <c r="P500" t="n">
        <v>0.00261</v>
      </c>
      <c r="Q500" t="n">
        <v>-60</v>
      </c>
      <c r="R500" t="n">
        <v>0.1027</v>
      </c>
      <c r="S500">
        <f>IMAGE("https://mitra.stanford.edu/kundaje/oak/projects/neuro-variants/variant_position/credible/roussos_2024/variant_figures/roussos_2024.childhood.Astrocyte/rs11030309_count_position.png",4,220,900)</f>
        <v/>
      </c>
      <c r="T500">
        <f>IMAGE("https://mitra.stanford.edu/kundaje/oak/projects/neuro-variants/variant_position/credible/roussos_2024/variant_figures/roussos_2024.childhood.Astrocyte/rs11030309_profile_position.png",4,220,900)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0.0526779152</v>
      </c>
      <c r="G501" t="n">
        <v>0.2004632450548462</v>
      </c>
      <c r="H501" t="n">
        <v>0.0118104604762621</v>
      </c>
      <c r="I501" t="n">
        <v>0.5237953080736868</v>
      </c>
      <c r="J501" t="n">
        <v>0.0083724515887735</v>
      </c>
      <c r="K501" t="n">
        <v>0.73264986951424</v>
      </c>
      <c r="L501" t="b">
        <v>0</v>
      </c>
      <c r="M501" t="b">
        <v>0</v>
      </c>
      <c r="N501" t="inlineStr">
        <is>
          <t>alt</t>
        </is>
      </c>
      <c r="O501" t="n">
        <v>-20</v>
      </c>
      <c r="P501" t="n">
        <v>0.005516</v>
      </c>
      <c r="Q501" t="n">
        <v>-90</v>
      </c>
      <c r="R501" t="n">
        <v>0.01642</v>
      </c>
      <c r="S501">
        <f>IMAGE("https://mitra.stanford.edu/kundaje/oak/projects/neuro-variants/variant_position/credible/roussos_2024/variant_figures/roussos_2024.childhood.Astrocyte/rs10835321_count_position.png",4,220,900)</f>
        <v/>
      </c>
      <c r="T501">
        <f>IMAGE("https://mitra.stanford.edu/kundaje/oak/projects/neuro-variants/variant_position/credible/roussos_2024/variant_figures/roussos_2024.childhood.Astrocyte/rs10835321_profile_position.png",4,220,900)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-0.0187506082</v>
      </c>
      <c r="G502" t="n">
        <v>0.5523132544804936</v>
      </c>
      <c r="H502" t="n">
        <v>0.031998498658961</v>
      </c>
      <c r="I502" t="n">
        <v>0.0230503883395713</v>
      </c>
      <c r="J502" t="n">
        <v>0.0273804889591108</v>
      </c>
      <c r="K502" t="n">
        <v>0.5489045320990532</v>
      </c>
      <c r="L502" t="b">
        <v>0</v>
      </c>
      <c r="M502" t="b">
        <v>0</v>
      </c>
      <c r="N502" t="inlineStr">
        <is>
          <t>ref</t>
        </is>
      </c>
      <c r="O502" t="n">
        <v>70</v>
      </c>
      <c r="P502" t="n">
        <v>0.001602</v>
      </c>
      <c r="Q502" t="n">
        <v>-15</v>
      </c>
      <c r="R502" t="n">
        <v>0.01971</v>
      </c>
      <c r="S502">
        <f>IMAGE("https://mitra.stanford.edu/kundaje/oak/projects/neuro-variants/variant_position/credible/roussos_2024/variant_figures/roussos_2024.childhood.Astrocyte/rs4923535_count_position.png",4,220,900)</f>
        <v/>
      </c>
      <c r="T502">
        <f>IMAGE("https://mitra.stanford.edu/kundaje/oak/projects/neuro-variants/variant_position/credible/roussos_2024/variant_figures/roussos_2024.childhood.Astrocyte/rs4923535_profile_position.png",4,220,900)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0.00841313128</v>
      </c>
      <c r="G503" t="n">
        <v>0.7508619680878627</v>
      </c>
      <c r="H503" t="n">
        <v>0.0215476888098315</v>
      </c>
      <c r="I503" t="n">
        <v>0.09824149359235849</v>
      </c>
      <c r="J503" t="n">
        <v>0.0012571271553204</v>
      </c>
      <c r="K503" t="n">
        <v>0.8933231515359252</v>
      </c>
      <c r="L503" t="b">
        <v>0</v>
      </c>
      <c r="M503" t="b">
        <v>0</v>
      </c>
      <c r="N503" t="inlineStr">
        <is>
          <t>alt</t>
        </is>
      </c>
      <c r="O503" t="n">
        <v>100</v>
      </c>
      <c r="P503" t="n">
        <v>0.01298</v>
      </c>
      <c r="Q503" t="n">
        <v>-75</v>
      </c>
      <c r="R503" t="n">
        <v>0.05835</v>
      </c>
      <c r="S503">
        <f>IMAGE("https://mitra.stanford.edu/kundaje/oak/projects/neuro-variants/variant_position/credible/roussos_2024/variant_figures/roussos_2024.childhood.Astrocyte/rs11030323_count_position.png",4,220,900)</f>
        <v/>
      </c>
      <c r="T503">
        <f>IMAGE("https://mitra.stanford.edu/kundaje/oak/projects/neuro-variants/variant_position/credible/roussos_2024/variant_figures/roussos_2024.childhood.Astrocyte/rs11030323_profile_position.png",4,220,900)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-0.0966731488</v>
      </c>
      <c r="G504" t="n">
        <v>0.0869964874079254</v>
      </c>
      <c r="H504" t="n">
        <v>0.0157575512186139</v>
      </c>
      <c r="I504" t="n">
        <v>0.262313988679734</v>
      </c>
      <c r="J504" t="n">
        <v>0.0234984314533671</v>
      </c>
      <c r="K504" t="n">
        <v>0.5819031081604944</v>
      </c>
      <c r="L504" t="b">
        <v>0</v>
      </c>
      <c r="M504" t="b">
        <v>0</v>
      </c>
      <c r="N504" t="inlineStr">
        <is>
          <t>ref</t>
        </is>
      </c>
      <c r="O504" t="n">
        <v>65</v>
      </c>
      <c r="P504" t="n">
        <v>0.006943</v>
      </c>
      <c r="Q504" t="n">
        <v>-95</v>
      </c>
      <c r="R504" t="n">
        <v>0.1941</v>
      </c>
      <c r="S504">
        <f>IMAGE("https://mitra.stanford.edu/kundaje/oak/projects/neuro-variants/variant_position/credible/roussos_2024/variant_figures/roussos_2024.childhood.Astrocyte/rs7931626_count_position.png",4,220,900)</f>
        <v/>
      </c>
      <c r="T504">
        <f>IMAGE("https://mitra.stanford.edu/kundaje/oak/projects/neuro-variants/variant_position/credible/roussos_2024/variant_figures/roussos_2024.childhood.Astrocyte/rs7931626_profile_position.png",4,220,900)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0.0193327406</v>
      </c>
      <c r="G505" t="n">
        <v>0.5271807070508746</v>
      </c>
      <c r="H505" t="n">
        <v>0.0232059663600398</v>
      </c>
      <c r="I505" t="n">
        <v>0.07806459044309109</v>
      </c>
      <c r="J505" t="n">
        <v>0.0008815919030935</v>
      </c>
      <c r="K505" t="n">
        <v>0.9251959898746664</v>
      </c>
      <c r="L505" t="b">
        <v>0</v>
      </c>
      <c r="M505" t="b">
        <v>0</v>
      </c>
      <c r="N505" t="inlineStr">
        <is>
          <t>alt</t>
        </is>
      </c>
      <c r="O505" t="n">
        <v>10</v>
      </c>
      <c r="P505" t="n">
        <v>0.001259</v>
      </c>
      <c r="Q505" t="n">
        <v>-65</v>
      </c>
      <c r="R505" t="n">
        <v>0.07679999999999999</v>
      </c>
      <c r="S505">
        <f>IMAGE("https://mitra.stanford.edu/kundaje/oak/projects/neuro-variants/variant_position/credible/roussos_2024/variant_figures/roussos_2024.childhood.Astrocyte/rs11030324_count_position.png",4,220,900)</f>
        <v/>
      </c>
      <c r="T505">
        <f>IMAGE("https://mitra.stanford.edu/kundaje/oak/projects/neuro-variants/variant_position/credible/roussos_2024/variant_figures/roussos_2024.childhood.Astrocyte/rs11030324_profile_position.png",4,220,900)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0.1022587416</v>
      </c>
      <c r="G506" t="n">
        <v>0.07728328573146589</v>
      </c>
      <c r="H506" t="n">
        <v>0.03265304802282</v>
      </c>
      <c r="I506" t="n">
        <v>0.0282264931838445</v>
      </c>
      <c r="J506" t="n">
        <v>0.002998939036584</v>
      </c>
      <c r="K506" t="n">
        <v>0.8234881220580085</v>
      </c>
      <c r="L506" t="b">
        <v>0</v>
      </c>
      <c r="M506" t="b">
        <v>0</v>
      </c>
      <c r="N506" t="inlineStr">
        <is>
          <t>alt</t>
        </is>
      </c>
      <c r="O506" t="n">
        <v>-95</v>
      </c>
      <c r="P506" t="n">
        <v>0.0045</v>
      </c>
      <c r="Q506" t="n">
        <v>30</v>
      </c>
      <c r="R506" t="n">
        <v>0.01917</v>
      </c>
      <c r="S506">
        <f>IMAGE("https://mitra.stanford.edu/kundaje/oak/projects/neuro-variants/variant_position/credible/roussos_2024/variant_figures/roussos_2024.childhood.Astrocyte/rs11030331_count_position.png",4,220,900)</f>
        <v/>
      </c>
      <c r="T506">
        <f>IMAGE("https://mitra.stanford.edu/kundaje/oak/projects/neuro-variants/variant_position/credible/roussos_2024/variant_figures/roussos_2024.childhood.Astrocyte/rs11030331_profile_position.png",4,220,900)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-0.0568501685999999</v>
      </c>
      <c r="G507" t="n">
        <v>0.1988445397477019</v>
      </c>
      <c r="H507" t="n">
        <v>0.0090179651112987</v>
      </c>
      <c r="I507" t="n">
        <v>0.8204454189929801</v>
      </c>
      <c r="J507" t="n">
        <v>0.0002976803828626</v>
      </c>
      <c r="K507" t="n">
        <v>0.961838359024062</v>
      </c>
      <c r="L507" t="b">
        <v>0</v>
      </c>
      <c r="M507" t="b">
        <v>0</v>
      </c>
      <c r="N507" t="inlineStr">
        <is>
          <t>ref</t>
        </is>
      </c>
      <c r="O507" t="n">
        <v>70</v>
      </c>
      <c r="P507" t="n">
        <v>0.001366</v>
      </c>
      <c r="Q507" t="n">
        <v>75</v>
      </c>
      <c r="R507" t="n">
        <v>0.04147</v>
      </c>
      <c r="S507">
        <f>IMAGE("https://mitra.stanford.edu/kundaje/oak/projects/neuro-variants/variant_position/credible/roussos_2024/variant_figures/roussos_2024.childhood.Astrocyte/rs4543974_count_position.png",4,220,900)</f>
        <v/>
      </c>
      <c r="T507">
        <f>IMAGE("https://mitra.stanford.edu/kundaje/oak/projects/neuro-variants/variant_position/credible/roussos_2024/variant_figures/roussos_2024.childhood.Astrocyte/rs4543974_profile_position.png",4,220,900)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-0.0579028728</v>
      </c>
      <c r="G508" t="n">
        <v>0.1975603077622816</v>
      </c>
      <c r="H508" t="n">
        <v>0.018314730238332</v>
      </c>
      <c r="I508" t="n">
        <v>0.1700370611293334</v>
      </c>
      <c r="J508" t="n">
        <v>0.009343347606725999</v>
      </c>
      <c r="K508" t="n">
        <v>0.6960508671098531</v>
      </c>
      <c r="L508" t="b">
        <v>0</v>
      </c>
      <c r="M508" t="b">
        <v>0</v>
      </c>
      <c r="N508" t="inlineStr">
        <is>
          <t>ref</t>
        </is>
      </c>
      <c r="O508" t="n">
        <v>95</v>
      </c>
      <c r="P508" t="n">
        <v>0.01865</v>
      </c>
      <c r="Q508" t="n">
        <v>100</v>
      </c>
      <c r="R508" t="n">
        <v>0.2192</v>
      </c>
      <c r="S508">
        <f>IMAGE("https://mitra.stanford.edu/kundaje/oak/projects/neuro-variants/variant_position/credible/roussos_2024/variant_figures/roussos_2024.childhood.Astrocyte/rs10767724_count_position.png",4,220,900)</f>
        <v/>
      </c>
      <c r="T508">
        <f>IMAGE("https://mitra.stanford.edu/kundaje/oak/projects/neuro-variants/variant_position/credible/roussos_2024/variant_figures/roussos_2024.childhood.Astrocyte/rs10767724_profile_position.png",4,220,900)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0.418786944</v>
      </c>
      <c r="G509" t="n">
        <v>0.0019987922442671</v>
      </c>
      <c r="H509" t="n">
        <v>0.0583492345133966</v>
      </c>
      <c r="I509" t="n">
        <v>0.0022983672896443</v>
      </c>
      <c r="J509" t="n">
        <v>0.0978299863372336</v>
      </c>
      <c r="K509" t="n">
        <v>0.3253989349335376</v>
      </c>
      <c r="L509" t="b">
        <v>1</v>
      </c>
      <c r="M509" t="b">
        <v>1</v>
      </c>
      <c r="N509" t="inlineStr">
        <is>
          <t>alt</t>
        </is>
      </c>
      <c r="O509" t="n">
        <v>-40</v>
      </c>
      <c r="P509" t="n">
        <v>0.01721</v>
      </c>
      <c r="Q509" t="n">
        <v>-25</v>
      </c>
      <c r="R509" t="n">
        <v>0.09326</v>
      </c>
      <c r="S509">
        <f>IMAGE("https://mitra.stanford.edu/kundaje/oak/projects/neuro-variants/variant_position/credible/roussos_2024/variant_figures/roussos_2024.childhood.Astrocyte/rs10835338_count_position.png",4,220,900)</f>
        <v/>
      </c>
      <c r="T509">
        <f>IMAGE("https://mitra.stanford.edu/kundaje/oak/projects/neuro-variants/variant_position/credible/roussos_2024/variant_figures/roussos_2024.childhood.Astrocyte/rs10835338_profile_position.png",4,220,900)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-0.1669043278</v>
      </c>
      <c r="G510" t="n">
        <v>0.0268303535700746</v>
      </c>
      <c r="H510" t="n">
        <v>0.0172688445238968</v>
      </c>
      <c r="I510" t="n">
        <v>0.2059497630369232</v>
      </c>
      <c r="J510" t="n">
        <v>0.008352606229916</v>
      </c>
      <c r="K510" t="n">
        <v>0.7141432604937649</v>
      </c>
      <c r="L510" t="b">
        <v>0</v>
      </c>
      <c r="M510" t="b">
        <v>0</v>
      </c>
      <c r="N510" t="inlineStr">
        <is>
          <t>ref</t>
        </is>
      </c>
      <c r="O510" t="n">
        <v>20</v>
      </c>
      <c r="P510" t="n">
        <v>0.001846</v>
      </c>
      <c r="Q510" t="n">
        <v>40</v>
      </c>
      <c r="R510" t="n">
        <v>0.0426</v>
      </c>
      <c r="S510">
        <f>IMAGE("https://mitra.stanford.edu/kundaje/oak/projects/neuro-variants/variant_position/credible/roussos_2024/variant_figures/roussos_2024.childhood.Astrocyte/rs10767725_count_position.png",4,220,900)</f>
        <v/>
      </c>
      <c r="T510">
        <f>IMAGE("https://mitra.stanford.edu/kundaje/oak/projects/neuro-variants/variant_position/credible/roussos_2024/variant_figures/roussos_2024.childhood.Astrocyte/rs10767725_profile_position.png",4,220,900)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-0.0740535886</v>
      </c>
      <c r="G511" t="n">
        <v>0.1348980941467591</v>
      </c>
      <c r="H511" t="n">
        <v>0.0116207086668158</v>
      </c>
      <c r="I511" t="n">
        <v>0.546846213608709</v>
      </c>
      <c r="J511" t="n">
        <v>0.0275125369238166</v>
      </c>
      <c r="K511" t="n">
        <v>0.5741011588546792</v>
      </c>
      <c r="L511" t="b">
        <v>0</v>
      </c>
      <c r="M511" t="b">
        <v>0</v>
      </c>
      <c r="N511" t="inlineStr">
        <is>
          <t>ref</t>
        </is>
      </c>
      <c r="O511" t="n">
        <v>-100</v>
      </c>
      <c r="P511" t="n">
        <v>0.05585</v>
      </c>
      <c r="Q511" t="n">
        <v>-45</v>
      </c>
      <c r="R511" t="n">
        <v>0.1125</v>
      </c>
      <c r="S511">
        <f>IMAGE("https://mitra.stanford.edu/kundaje/oak/projects/neuro-variants/variant_position/credible/roussos_2024/variant_figures/roussos_2024.childhood.Astrocyte/rs11030341_count_position.png",4,220,900)</f>
        <v/>
      </c>
      <c r="T511">
        <f>IMAGE("https://mitra.stanford.edu/kundaje/oak/projects/neuro-variants/variant_position/credible/roussos_2024/variant_figures/roussos_2024.childhood.Astrocyte/rs11030341_profile_position.png",4,220,900)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0.0105810423</v>
      </c>
      <c r="G512" t="n">
        <v>0.6944093710913167</v>
      </c>
      <c r="H512" t="n">
        <v>0.0257938385615374</v>
      </c>
      <c r="I512" t="n">
        <v>0.052810419716189</v>
      </c>
      <c r="J512" t="n">
        <v>0.0127498797829222</v>
      </c>
      <c r="K512" t="n">
        <v>0.6660578990567302</v>
      </c>
      <c r="L512" t="b">
        <v>0</v>
      </c>
      <c r="M512" t="b">
        <v>0</v>
      </c>
      <c r="N512" t="inlineStr">
        <is>
          <t>alt</t>
        </is>
      </c>
      <c r="O512" t="n">
        <v>55</v>
      </c>
      <c r="P512" t="n">
        <v>0.01228</v>
      </c>
      <c r="Q512" t="n">
        <v>95</v>
      </c>
      <c r="R512" t="n">
        <v>0.0409</v>
      </c>
      <c r="S512">
        <f>IMAGE("https://mitra.stanford.edu/kundaje/oak/projects/neuro-variants/variant_position/credible/roussos_2024/variant_figures/roussos_2024.childhood.Astrocyte/rs7130732_count_position.png",4,220,900)</f>
        <v/>
      </c>
      <c r="T512">
        <f>IMAGE("https://mitra.stanford.edu/kundaje/oak/projects/neuro-variants/variant_position/credible/roussos_2024/variant_figures/roussos_2024.childhood.Astrocyte/rs7130732_profile_position.png",4,220,900)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0.0896932238</v>
      </c>
      <c r="G513" t="n">
        <v>0.08537989596356289</v>
      </c>
      <c r="H513" t="n">
        <v>0.0164128487198301</v>
      </c>
      <c r="I513" t="n">
        <v>0.2307268961339746</v>
      </c>
      <c r="J513" t="n">
        <v>0.0090861212246112</v>
      </c>
      <c r="K513" t="n">
        <v>0.7119268292208502</v>
      </c>
      <c r="L513" t="b">
        <v>0</v>
      </c>
      <c r="M513" t="b">
        <v>0</v>
      </c>
      <c r="N513" t="inlineStr">
        <is>
          <t>alt</t>
        </is>
      </c>
      <c r="O513" t="n">
        <v>-80</v>
      </c>
      <c r="P513" t="n">
        <v>0.01968</v>
      </c>
      <c r="Q513" t="n">
        <v>-80</v>
      </c>
      <c r="R513" t="n">
        <v>0.178</v>
      </c>
      <c r="S513">
        <f>IMAGE("https://mitra.stanford.edu/kundaje/oak/projects/neuro-variants/variant_position/credible/roussos_2024/variant_figures/roussos_2024.childhood.Astrocyte/rs7105555_count_position.png",4,220,900)</f>
        <v/>
      </c>
      <c r="T513">
        <f>IMAGE("https://mitra.stanford.edu/kundaje/oak/projects/neuro-variants/variant_position/credible/roussos_2024/variant_figures/roussos_2024.childhood.Astrocyte/rs7105555_profile_position.png",4,220,900)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0.0298297648399999</v>
      </c>
      <c r="G514" t="n">
        <v>0.3729100614151823</v>
      </c>
      <c r="H514" t="n">
        <v>0.0134487340780033</v>
      </c>
      <c r="I514" t="n">
        <v>0.3986277926982267</v>
      </c>
      <c r="J514" t="n">
        <v>0.0123377069451122</v>
      </c>
      <c r="K514" t="n">
        <v>0.6713872125603264</v>
      </c>
      <c r="L514" t="b">
        <v>0</v>
      </c>
      <c r="M514" t="b">
        <v>0</v>
      </c>
      <c r="N514" t="inlineStr">
        <is>
          <t>alt</t>
        </is>
      </c>
      <c r="O514" t="n">
        <v>-95</v>
      </c>
      <c r="P514" t="n">
        <v>0.01271</v>
      </c>
      <c r="Q514" t="n">
        <v>25</v>
      </c>
      <c r="R514" t="n">
        <v>0.01367</v>
      </c>
      <c r="S514">
        <f>IMAGE("https://mitra.stanford.edu/kundaje/oak/projects/neuro-variants/variant_position/credible/roussos_2024/variant_figures/roussos_2024.childhood.Astrocyte/rs11603115_count_position.png",4,220,900)</f>
        <v/>
      </c>
      <c r="T514">
        <f>IMAGE("https://mitra.stanford.edu/kundaje/oak/projects/neuro-variants/variant_position/credible/roussos_2024/variant_figures/roussos_2024.childhood.Astrocyte/rs11603115_profile_position.png",4,220,900)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-0.159043538</v>
      </c>
      <c r="G515" t="n">
        <v>0.0320790395902777</v>
      </c>
      <c r="H515" t="n">
        <v>0.0246496192004672</v>
      </c>
      <c r="I515" t="n">
        <v>0.07215819176806409</v>
      </c>
      <c r="J515" t="n">
        <v>0.0371550914794714</v>
      </c>
      <c r="K515" t="n">
        <v>0.4988864012090758</v>
      </c>
      <c r="L515" t="b">
        <v>0</v>
      </c>
      <c r="M515" t="b">
        <v>0</v>
      </c>
      <c r="N515" t="inlineStr">
        <is>
          <t>ref</t>
        </is>
      </c>
      <c r="O515" t="n">
        <v>-30</v>
      </c>
      <c r="P515" t="n">
        <v>0.00778</v>
      </c>
      <c r="Q515" t="n">
        <v>-25</v>
      </c>
      <c r="R515" t="n">
        <v>0.07886</v>
      </c>
      <c r="S515">
        <f>IMAGE("https://mitra.stanford.edu/kundaje/oak/projects/neuro-variants/variant_position/credible/roussos_2024/variant_figures/roussos_2024.childhood.Astrocyte/rs1811450_count_position.png",4,220,900)</f>
        <v/>
      </c>
      <c r="T515">
        <f>IMAGE("https://mitra.stanford.edu/kundaje/oak/projects/neuro-variants/variant_position/credible/roussos_2024/variant_figures/roussos_2024.childhood.Astrocyte/rs1811450_profile_position.png",4,220,900)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-0.0381225304</v>
      </c>
      <c r="G516" t="n">
        <v>0.3198916479669642</v>
      </c>
      <c r="H516" t="n">
        <v>0.009072028362061</v>
      </c>
      <c r="I516" t="n">
        <v>0.7849020628362139</v>
      </c>
      <c r="J516" t="n">
        <v>0.0106844358956744</v>
      </c>
      <c r="K516" t="n">
        <v>0.6822804934433894</v>
      </c>
      <c r="L516" t="b">
        <v>0</v>
      </c>
      <c r="M516" t="b">
        <v>0</v>
      </c>
      <c r="N516" t="inlineStr">
        <is>
          <t>ref</t>
        </is>
      </c>
      <c r="O516" t="n">
        <v>-100</v>
      </c>
      <c r="P516" t="n">
        <v>0.03098</v>
      </c>
      <c r="Q516" t="n">
        <v>-95</v>
      </c>
      <c r="R516" t="n">
        <v>0.0396</v>
      </c>
      <c r="S516">
        <f>IMAGE("https://mitra.stanford.edu/kundaje/oak/projects/neuro-variants/variant_position/credible/roussos_2024/variant_figures/roussos_2024.childhood.Astrocyte/rs2582905_count_position.png",4,220,900)</f>
        <v/>
      </c>
      <c r="T516">
        <f>IMAGE("https://mitra.stanford.edu/kundaje/oak/projects/neuro-variants/variant_position/credible/roussos_2024/variant_figures/roussos_2024.childhood.Astrocyte/rs2582905_profile_position.png",4,220,900)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-0.03035852974</v>
      </c>
      <c r="G517" t="n">
        <v>0.3587149810053935</v>
      </c>
      <c r="H517" t="n">
        <v>0.0357575217141867</v>
      </c>
      <c r="I517" t="n">
        <v>0.0150445790799358</v>
      </c>
      <c r="J517" t="n">
        <v>0.0099929014677932</v>
      </c>
      <c r="K517" t="n">
        <v>0.7010500157574694</v>
      </c>
      <c r="L517" t="b">
        <v>0</v>
      </c>
      <c r="M517" t="b">
        <v>0</v>
      </c>
      <c r="N517" t="inlineStr">
        <is>
          <t>ref</t>
        </is>
      </c>
      <c r="O517" t="n">
        <v>50</v>
      </c>
      <c r="P517" t="n">
        <v>0.01591</v>
      </c>
      <c r="Q517" t="n">
        <v>55</v>
      </c>
      <c r="R517" t="n">
        <v>0.004303</v>
      </c>
      <c r="S517">
        <f>IMAGE("https://mitra.stanford.edu/kundaje/oak/projects/neuro-variants/variant_position/credible/roussos_2024/variant_figures/roussos_2024.childhood.Astrocyte/rs2582895_count_position.png",4,220,900)</f>
        <v/>
      </c>
      <c r="T517">
        <f>IMAGE("https://mitra.stanford.edu/kundaje/oak/projects/neuro-variants/variant_position/credible/roussos_2024/variant_figures/roussos_2024.childhood.Astrocyte/rs2582895_profile_position.png",4,220,900)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0.4153411919999999</v>
      </c>
      <c r="G518" t="n">
        <v>0.0020056518081066</v>
      </c>
      <c r="H518" t="n">
        <v>0.0649325588018964</v>
      </c>
      <c r="I518" t="n">
        <v>0.0015758220381095</v>
      </c>
      <c r="J518" t="n">
        <v>0.0306641325669971</v>
      </c>
      <c r="K518" t="n">
        <v>0.5306390167496821</v>
      </c>
      <c r="L518" t="b">
        <v>1</v>
      </c>
      <c r="M518" t="b">
        <v>1</v>
      </c>
      <c r="N518" t="inlineStr">
        <is>
          <t>alt</t>
        </is>
      </c>
      <c r="O518" t="n">
        <v>0</v>
      </c>
      <c r="P518" t="n">
        <v>0</v>
      </c>
      <c r="Q518" t="n">
        <v>-70</v>
      </c>
      <c r="R518" t="n">
        <v>0.04468</v>
      </c>
      <c r="S518">
        <f>IMAGE("https://mitra.stanford.edu/kundaje/oak/projects/neuro-variants/variant_position/credible/roussos_2024/variant_figures/roussos_2024.childhood.Astrocyte/rs2585817_count_position.png",4,220,900)</f>
        <v/>
      </c>
      <c r="T518">
        <f>IMAGE("https://mitra.stanford.edu/kundaje/oak/projects/neuro-variants/variant_position/credible/roussos_2024/variant_figures/roussos_2024.childhood.Astrocyte/rs2585817_profile_position.png",4,220,900)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0.0161705934</v>
      </c>
      <c r="G519" t="n">
        <v>0.5809724570800829</v>
      </c>
      <c r="H519" t="n">
        <v>0.0102958759679795</v>
      </c>
      <c r="I519" t="n">
        <v>0.6836927797848048</v>
      </c>
      <c r="J519" t="n">
        <v>0.0344629922221458</v>
      </c>
      <c r="K519" t="n">
        <v>0.5122606013517892</v>
      </c>
      <c r="L519" t="b">
        <v>0</v>
      </c>
      <c r="M519" t="b">
        <v>0</v>
      </c>
      <c r="N519" t="inlineStr">
        <is>
          <t>alt</t>
        </is>
      </c>
      <c r="O519" t="n">
        <v>0</v>
      </c>
      <c r="P519" t="n">
        <v>0</v>
      </c>
      <c r="Q519" t="n">
        <v>-5</v>
      </c>
      <c r="R519" t="n">
        <v>0.00421</v>
      </c>
      <c r="S519">
        <f>IMAGE("https://mitra.stanford.edu/kundaje/oak/projects/neuro-variants/variant_position/credible/roussos_2024/variant_figures/roussos_2024.childhood.Astrocyte/rs2582896_count_position.png",4,220,900)</f>
        <v/>
      </c>
      <c r="T519">
        <f>IMAGE("https://mitra.stanford.edu/kundaje/oak/projects/neuro-variants/variant_position/credible/roussos_2024/variant_figures/roussos_2024.childhood.Astrocyte/rs2582896_profile_position.png",4,220,900)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0.2674533912</v>
      </c>
      <c r="G520" t="n">
        <v>0.0116880884360759</v>
      </c>
      <c r="H520" t="n">
        <v>0.0330872189434953</v>
      </c>
      <c r="I520" t="n">
        <v>0.0350198410591154</v>
      </c>
      <c r="J520" t="n">
        <v>0.0146267927610236</v>
      </c>
      <c r="K520" t="n">
        <v>0.6789118969120435</v>
      </c>
      <c r="L520" t="b">
        <v>1</v>
      </c>
      <c r="M520" t="b">
        <v>0</v>
      </c>
      <c r="N520" t="inlineStr">
        <is>
          <t>alt</t>
        </is>
      </c>
      <c r="O520" t="n">
        <v>-90</v>
      </c>
      <c r="P520" t="n">
        <v>0.002823</v>
      </c>
      <c r="Q520" t="n">
        <v>-25</v>
      </c>
      <c r="R520" t="n">
        <v>0.01685</v>
      </c>
      <c r="S520">
        <f>IMAGE("https://mitra.stanford.edu/kundaje/oak/projects/neuro-variants/variant_position/credible/roussos_2024/variant_figures/roussos_2024.childhood.Astrocyte/rs10742196_count_position.png",4,220,900)</f>
        <v/>
      </c>
      <c r="T520">
        <f>IMAGE("https://mitra.stanford.edu/kundaje/oak/projects/neuro-variants/variant_position/credible/roussos_2024/variant_figures/roussos_2024.childhood.Astrocyte/rs10742196_profile_position.png",4,220,900)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-0.1091803378</v>
      </c>
      <c r="G521" t="n">
        <v>0.06711759009397419</v>
      </c>
      <c r="H521" t="n">
        <v>0.0222771203429862</v>
      </c>
      <c r="I521" t="n">
        <v>0.09214750063558989</v>
      </c>
      <c r="J521" t="n">
        <v>0.06359445245891621</v>
      </c>
      <c r="K521" t="n">
        <v>0.4150044389359201</v>
      </c>
      <c r="L521" t="b">
        <v>0</v>
      </c>
      <c r="M521" t="b">
        <v>0</v>
      </c>
      <c r="N521" t="inlineStr">
        <is>
          <t>ref</t>
        </is>
      </c>
      <c r="O521" t="n">
        <v>-65</v>
      </c>
      <c r="P521" t="n">
        <v>0.0141</v>
      </c>
      <c r="Q521" t="n">
        <v>-60</v>
      </c>
      <c r="R521" t="n">
        <v>0.1268</v>
      </c>
      <c r="S521">
        <f>IMAGE("https://mitra.stanford.edu/kundaje/oak/projects/neuro-variants/variant_position/credible/roussos_2024/variant_figures/roussos_2024.childhood.Astrocyte/rs11030386_count_position.png",4,220,900)</f>
        <v/>
      </c>
      <c r="T521">
        <f>IMAGE("https://mitra.stanford.edu/kundaje/oak/projects/neuro-variants/variant_position/credible/roussos_2024/variant_figures/roussos_2024.childhood.Astrocyte/rs11030386_profile_position.png",4,220,900)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-0.0342762274</v>
      </c>
      <c r="G522" t="n">
        <v>0.3520555995349778</v>
      </c>
      <c r="H522" t="n">
        <v>0.0146285135232369</v>
      </c>
      <c r="I522" t="n">
        <v>0.3243602760101989</v>
      </c>
      <c r="J522" t="n">
        <v>0.007200812133147</v>
      </c>
      <c r="K522" t="n">
        <v>0.7316455732494646</v>
      </c>
      <c r="L522" t="b">
        <v>0</v>
      </c>
      <c r="M522" t="b">
        <v>0</v>
      </c>
      <c r="N522" t="inlineStr">
        <is>
          <t>ref</t>
        </is>
      </c>
      <c r="O522" t="n">
        <v>0</v>
      </c>
      <c r="P522" t="n">
        <v>0</v>
      </c>
      <c r="Q522" t="n">
        <v>-70</v>
      </c>
      <c r="R522" t="n">
        <v>0.1006</v>
      </c>
      <c r="S522">
        <f>IMAGE("https://mitra.stanford.edu/kundaje/oak/projects/neuro-variants/variant_position/credible/roussos_2024/variant_figures/roussos_2024.childhood.Astrocyte/rs12226518_count_position.png",4,220,900)</f>
        <v/>
      </c>
      <c r="T522">
        <f>IMAGE("https://mitra.stanford.edu/kundaje/oak/projects/neuro-variants/variant_position/credible/roussos_2024/variant_figures/roussos_2024.childhood.Astrocyte/rs12226518_profile_position.png",4,220,900)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-0.034800515</v>
      </c>
      <c r="G523" t="n">
        <v>0.2912090761053903</v>
      </c>
      <c r="H523" t="n">
        <v>0.0100925874629191</v>
      </c>
      <c r="I523" t="n">
        <v>0.7057954141150878</v>
      </c>
      <c r="J523" t="n">
        <v>0.0045422973292726</v>
      </c>
      <c r="K523" t="n">
        <v>0.7864300571790231</v>
      </c>
      <c r="L523" t="b">
        <v>0</v>
      </c>
      <c r="M523" t="b">
        <v>0</v>
      </c>
      <c r="N523" t="inlineStr">
        <is>
          <t>ref</t>
        </is>
      </c>
      <c r="O523" t="n">
        <v>35</v>
      </c>
      <c r="P523" t="n">
        <v>0.002535</v>
      </c>
      <c r="Q523" t="n">
        <v>-70</v>
      </c>
      <c r="R523" t="n">
        <v>0.04483</v>
      </c>
      <c r="S523">
        <f>IMAGE("https://mitra.stanford.edu/kundaje/oak/projects/neuro-variants/variant_position/credible/roussos_2024/variant_figures/roussos_2024.childhood.Astrocyte/rs10767732_count_position.png",4,220,900)</f>
        <v/>
      </c>
      <c r="T523">
        <f>IMAGE("https://mitra.stanford.edu/kundaje/oak/projects/neuro-variants/variant_position/credible/roussos_2024/variant_figures/roussos_2024.childhood.Astrocyte/rs10767732_profile_position.png",4,220,900)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0.07110099659999999</v>
      </c>
      <c r="G524" t="n">
        <v>0.1386975315376205</v>
      </c>
      <c r="H524" t="n">
        <v>0.0109320565108097</v>
      </c>
      <c r="I524" t="n">
        <v>0.6177530390211743</v>
      </c>
      <c r="J524" t="n">
        <v>0.3919435475868806</v>
      </c>
      <c r="K524" t="n">
        <v>0.08921453420050431</v>
      </c>
      <c r="L524" t="b">
        <v>0</v>
      </c>
      <c r="M524" t="b">
        <v>0</v>
      </c>
      <c r="N524" t="inlineStr">
        <is>
          <t>alt</t>
        </is>
      </c>
      <c r="O524" t="n">
        <v>100</v>
      </c>
      <c r="P524" t="n">
        <v>0.0563</v>
      </c>
      <c r="Q524" t="n">
        <v>100</v>
      </c>
      <c r="R524" t="n">
        <v>0.5107</v>
      </c>
      <c r="S524">
        <f>IMAGE("https://mitra.stanford.edu/kundaje/oak/projects/neuro-variants/variant_position/credible/roussos_2024/variant_figures/roussos_2024.childhood.Astrocyte/rs10835368_count_position.png",4,220,900)</f>
        <v/>
      </c>
      <c r="T524">
        <f>IMAGE("https://mitra.stanford.edu/kundaje/oak/projects/neuro-variants/variant_position/credible/roussos_2024/variant_figures/roussos_2024.childhood.Astrocyte/rs10835368_profile_position.png",4,220,900)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0.07890011919999999</v>
      </c>
      <c r="G525" t="n">
        <v>0.1190807302535614</v>
      </c>
      <c r="H525" t="n">
        <v>0.0226708353759618</v>
      </c>
      <c r="I525" t="n">
        <v>0.0898689461870785</v>
      </c>
      <c r="J525" t="n">
        <v>0.178299100089304</v>
      </c>
      <c r="K525" t="n">
        <v>0.2204234638905332</v>
      </c>
      <c r="L525" t="b">
        <v>0</v>
      </c>
      <c r="M525" t="b">
        <v>0</v>
      </c>
      <c r="N525" t="inlineStr">
        <is>
          <t>alt</t>
        </is>
      </c>
      <c r="O525" t="n">
        <v>-60</v>
      </c>
      <c r="P525" t="n">
        <v>0.007767</v>
      </c>
      <c r="Q525" t="n">
        <v>-100</v>
      </c>
      <c r="R525" t="n">
        <v>0.03943</v>
      </c>
      <c r="S525">
        <f>IMAGE("https://mitra.stanford.edu/kundaje/oak/projects/neuro-variants/variant_position/credible/roussos_2024/variant_figures/roussos_2024.childhood.Astrocyte/rs10835373_count_position.png",4,220,900)</f>
        <v/>
      </c>
      <c r="T525">
        <f>IMAGE("https://mitra.stanford.edu/kundaje/oak/projects/neuro-variants/variant_position/credible/roussos_2024/variant_figures/roussos_2024.childhood.Astrocyte/rs10835373_profile_position.png",4,220,900)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0.03133014732</v>
      </c>
      <c r="G526" t="n">
        <v>0.3774938240197925</v>
      </c>
      <c r="H526" t="n">
        <v>0.0232709005535198</v>
      </c>
      <c r="I526" t="n">
        <v>0.0802331231511398</v>
      </c>
      <c r="J526" t="n">
        <v>0.0624365520978833</v>
      </c>
      <c r="K526" t="n">
        <v>0.4057912667121435</v>
      </c>
      <c r="L526" t="b">
        <v>0</v>
      </c>
      <c r="M526" t="b">
        <v>0</v>
      </c>
      <c r="N526" t="inlineStr">
        <is>
          <t>alt</t>
        </is>
      </c>
      <c r="O526" t="n">
        <v>75</v>
      </c>
      <c r="P526" t="n">
        <v>0.01109</v>
      </c>
      <c r="Q526" t="n">
        <v>-95</v>
      </c>
      <c r="R526" t="n">
        <v>0.0514</v>
      </c>
      <c r="S526">
        <f>IMAGE("https://mitra.stanford.edu/kundaje/oak/projects/neuro-variants/variant_position/credible/roussos_2024/variant_figures/roussos_2024.childhood.Astrocyte/rs11030388_count_position.png",4,220,900)</f>
        <v/>
      </c>
      <c r="T526">
        <f>IMAGE("https://mitra.stanford.edu/kundaje/oak/projects/neuro-variants/variant_position/credible/roussos_2024/variant_figures/roussos_2024.childhood.Astrocyte/rs11030388_profile_position.png",4,220,900)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0.0099497176</v>
      </c>
      <c r="G527" t="n">
        <v>0.6532250067696153</v>
      </c>
      <c r="H527" t="n">
        <v>0.0151558359079009</v>
      </c>
      <c r="I527" t="n">
        <v>0.2910473948187647</v>
      </c>
      <c r="J527" t="n">
        <v>0.0067237602375336</v>
      </c>
      <c r="K527" t="n">
        <v>0.7647342039579594</v>
      </c>
      <c r="L527" t="b">
        <v>0</v>
      </c>
      <c r="M527" t="b">
        <v>0</v>
      </c>
      <c r="N527" t="inlineStr">
        <is>
          <t>alt</t>
        </is>
      </c>
      <c r="O527" t="n">
        <v>40</v>
      </c>
      <c r="P527" t="n">
        <v>0.00693</v>
      </c>
      <c r="Q527" t="n">
        <v>75</v>
      </c>
      <c r="R527" t="n">
        <v>0.04056</v>
      </c>
      <c r="S527">
        <f>IMAGE("https://mitra.stanford.edu/kundaje/oak/projects/neuro-variants/variant_position/credible/roussos_2024/variant_figures/roussos_2024.childhood.Astrocyte/rs4576808_count_position.png",4,220,900)</f>
        <v/>
      </c>
      <c r="T527">
        <f>IMAGE("https://mitra.stanford.edu/kundaje/oak/projects/neuro-variants/variant_position/credible/roussos_2024/variant_figures/roussos_2024.childhood.Astrocyte/rs4576808_profile_position.png",4,220,900)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0.0257748019999999</v>
      </c>
      <c r="G528" t="n">
        <v>0.4231506023949368</v>
      </c>
      <c r="H528" t="n">
        <v>0.0392587710583738</v>
      </c>
      <c r="I528" t="n">
        <v>0.0104952846226045</v>
      </c>
      <c r="J528" t="n">
        <v>0.0254028226206559</v>
      </c>
      <c r="K528" t="n">
        <v>0.5622882397393486</v>
      </c>
      <c r="L528" t="b">
        <v>1</v>
      </c>
      <c r="M528" t="b">
        <v>0</v>
      </c>
      <c r="N528" t="inlineStr">
        <is>
          <t>alt</t>
        </is>
      </c>
      <c r="O528" t="n">
        <v>-100</v>
      </c>
      <c r="P528" t="n">
        <v>0.03812</v>
      </c>
      <c r="Q528" t="n">
        <v>-100</v>
      </c>
      <c r="R528" t="n">
        <v>0.1882</v>
      </c>
      <c r="S528">
        <f>IMAGE("https://mitra.stanford.edu/kundaje/oak/projects/neuro-variants/variant_position/credible/roussos_2024/variant_figures/roussos_2024.childhood.Astrocyte/rs4290216_count_position.png",4,220,900)</f>
        <v/>
      </c>
      <c r="T528">
        <f>IMAGE("https://mitra.stanford.edu/kundaje/oak/projects/neuro-variants/variant_position/credible/roussos_2024/variant_figures/roussos_2024.childhood.Astrocyte/rs4290216_profile_position.png",4,220,900)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-0.03144486208</v>
      </c>
      <c r="G529" t="n">
        <v>0.4328077740805106</v>
      </c>
      <c r="H529" t="n">
        <v>0.01042392800988</v>
      </c>
      <c r="I529" t="n">
        <v>0.6757470501234757</v>
      </c>
      <c r="J529" t="n">
        <v>0.0106668803859158</v>
      </c>
      <c r="K529" t="n">
        <v>0.6897423655160673</v>
      </c>
      <c r="L529" t="b">
        <v>0</v>
      </c>
      <c r="M529" t="b">
        <v>0</v>
      </c>
      <c r="N529" t="inlineStr">
        <is>
          <t>ref</t>
        </is>
      </c>
      <c r="O529" t="n">
        <v>-100</v>
      </c>
      <c r="P529" t="n">
        <v>0.008316</v>
      </c>
      <c r="Q529" t="n">
        <v>-95</v>
      </c>
      <c r="R529" t="n">
        <v>0.10876</v>
      </c>
      <c r="S529">
        <f>IMAGE("https://mitra.stanford.edu/kundaje/oak/projects/neuro-variants/variant_position/credible/roussos_2024/variant_figures/roussos_2024.childhood.Astrocyte/rs7935241_count_position.png",4,220,900)</f>
        <v/>
      </c>
      <c r="T529">
        <f>IMAGE("https://mitra.stanford.edu/kundaje/oak/projects/neuro-variants/variant_position/credible/roussos_2024/variant_figures/roussos_2024.childhood.Astrocyte/rs7935241_profile_position.png",4,220,900)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-0.040044023</v>
      </c>
      <c r="G530" t="n">
        <v>0.2959829948019309</v>
      </c>
      <c r="H530" t="n">
        <v>0.0438495762604465</v>
      </c>
      <c r="I530" t="n">
        <v>0.0066769590389074</v>
      </c>
      <c r="J530" t="n">
        <v>0.0052559669651102</v>
      </c>
      <c r="K530" t="n">
        <v>0.7790833039781642</v>
      </c>
      <c r="L530" t="b">
        <v>0</v>
      </c>
      <c r="M530" t="b">
        <v>0</v>
      </c>
      <c r="N530" t="inlineStr">
        <is>
          <t>ref</t>
        </is>
      </c>
      <c r="O530" t="n">
        <v>-55</v>
      </c>
      <c r="P530" t="n">
        <v>0.0013275</v>
      </c>
      <c r="Q530" t="n">
        <v>-65</v>
      </c>
      <c r="R530" t="n">
        <v>0.0861</v>
      </c>
      <c r="S530">
        <f>IMAGE("https://mitra.stanford.edu/kundaje/oak/projects/neuro-variants/variant_position/credible/roussos_2024/variant_figures/roussos_2024.childhood.Astrocyte/rs7928893_count_position.png",4,220,900)</f>
        <v/>
      </c>
      <c r="T530">
        <f>IMAGE("https://mitra.stanford.edu/kundaje/oak/projects/neuro-variants/variant_position/credible/roussos_2024/variant_figures/roussos_2024.childhood.Astrocyte/rs7928893_profile_position.png",4,220,900)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-0.1657855419999999</v>
      </c>
      <c r="G531" t="n">
        <v>0.0257748853662135</v>
      </c>
      <c r="H531" t="n">
        <v>0.0151876844081436</v>
      </c>
      <c r="I531" t="n">
        <v>0.3025518521343753</v>
      </c>
      <c r="J531" t="n">
        <v>0.007159594849366</v>
      </c>
      <c r="K531" t="n">
        <v>0.7337649335145515</v>
      </c>
      <c r="L531" t="b">
        <v>0</v>
      </c>
      <c r="M531" t="b">
        <v>0</v>
      </c>
      <c r="N531" t="inlineStr">
        <is>
          <t>ref</t>
        </is>
      </c>
      <c r="O531" t="n">
        <v>10</v>
      </c>
      <c r="P531" t="n">
        <v>0.002522</v>
      </c>
      <c r="Q531" t="n">
        <v>-25</v>
      </c>
      <c r="R531" t="n">
        <v>0.05127</v>
      </c>
      <c r="S531">
        <f>IMAGE("https://mitra.stanford.edu/kundaje/oak/projects/neuro-variants/variant_position/credible/roussos_2024/variant_figures/roussos_2024.childhood.Astrocyte/rs7122369_count_position.png",4,220,900)</f>
        <v/>
      </c>
      <c r="T531">
        <f>IMAGE("https://mitra.stanford.edu/kundaje/oak/projects/neuro-variants/variant_position/credible/roussos_2024/variant_figures/roussos_2024.childhood.Astrocyte/rs7122369_profile_position.png",4,220,900)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0.078127746</v>
      </c>
      <c r="G532" t="n">
        <v>0.1247393255014709</v>
      </c>
      <c r="H532" t="n">
        <v>0.0148634378041955</v>
      </c>
      <c r="I532" t="n">
        <v>0.3069952565275073</v>
      </c>
      <c r="J532" t="n">
        <v>0.0486783754283925</v>
      </c>
      <c r="K532" t="n">
        <v>0.4546405346817942</v>
      </c>
      <c r="L532" t="b">
        <v>0</v>
      </c>
      <c r="M532" t="b">
        <v>0</v>
      </c>
      <c r="N532" t="inlineStr">
        <is>
          <t>alt</t>
        </is>
      </c>
      <c r="O532" t="n">
        <v>-65</v>
      </c>
      <c r="P532" t="n">
        <v>0.01302</v>
      </c>
      <c r="Q532" t="n">
        <v>-65</v>
      </c>
      <c r="R532" t="n">
        <v>0.127</v>
      </c>
      <c r="S532">
        <f>IMAGE("https://mitra.stanford.edu/kundaje/oak/projects/neuro-variants/variant_position/credible/roussos_2024/variant_figures/roussos_2024.childhood.Astrocyte/rs11034985_count_position.png",4,220,900)</f>
        <v/>
      </c>
      <c r="T532">
        <f>IMAGE("https://mitra.stanford.edu/kundaje/oak/projects/neuro-variants/variant_position/credible/roussos_2024/variant_figures/roussos_2024.childhood.Astrocyte/rs11034985_profile_position.png",4,220,900)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-0.01342688594</v>
      </c>
      <c r="G533" t="n">
        <v>0.6666523533809001</v>
      </c>
      <c r="H533" t="n">
        <v>0.0426293851496682</v>
      </c>
      <c r="I533" t="n">
        <v>0.007592173989423</v>
      </c>
      <c r="J533" t="n">
        <v>0.1095662262523566</v>
      </c>
      <c r="K533" t="n">
        <v>0.3066740282240685</v>
      </c>
      <c r="L533" t="b">
        <v>1</v>
      </c>
      <c r="M533" t="b">
        <v>1</v>
      </c>
      <c r="N533" t="inlineStr">
        <is>
          <t>ref</t>
        </is>
      </c>
      <c r="O533" t="n">
        <v>95</v>
      </c>
      <c r="P533" t="n">
        <v>0.01978</v>
      </c>
      <c r="Q533" t="n">
        <v>100</v>
      </c>
      <c r="R533" t="n">
        <v>0.1096</v>
      </c>
      <c r="S533">
        <f>IMAGE("https://mitra.stanford.edu/kundaje/oak/projects/neuro-variants/variant_position/credible/roussos_2024/variant_figures/roussos_2024.childhood.Astrocyte/rs10837065_count_position.png",4,220,900)</f>
        <v/>
      </c>
      <c r="T533">
        <f>IMAGE("https://mitra.stanford.edu/kundaje/oak/projects/neuro-variants/variant_position/credible/roussos_2024/variant_figures/roussos_2024.childhood.Astrocyte/rs10837065_profile_position.png",4,220,900)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-0.047871707</v>
      </c>
      <c r="G534" t="n">
        <v>0.2370973582047575</v>
      </c>
      <c r="H534" t="n">
        <v>0.0197950064268184</v>
      </c>
      <c r="I534" t="n">
        <v>0.1376250637433617</v>
      </c>
      <c r="J534" t="n">
        <v>0.0506155877660995</v>
      </c>
      <c r="K534" t="n">
        <v>0.4403692324246591</v>
      </c>
      <c r="L534" t="b">
        <v>0</v>
      </c>
      <c r="M534" t="b">
        <v>0</v>
      </c>
      <c r="N534" t="inlineStr">
        <is>
          <t>ref</t>
        </is>
      </c>
      <c r="O534" t="n">
        <v>-95</v>
      </c>
      <c r="P534" t="n">
        <v>0.0823</v>
      </c>
      <c r="Q534" t="n">
        <v>-95</v>
      </c>
      <c r="R534" t="n">
        <v>0.05878</v>
      </c>
      <c r="S534">
        <f>IMAGE("https://mitra.stanford.edu/kundaje/oak/projects/neuro-variants/variant_position/credible/roussos_2024/variant_figures/roussos_2024.childhood.Astrocyte/rs10837066_count_position.png",4,220,900)</f>
        <v/>
      </c>
      <c r="T534">
        <f>IMAGE("https://mitra.stanford.edu/kundaje/oak/projects/neuro-variants/variant_position/credible/roussos_2024/variant_figures/roussos_2024.childhood.Astrocyte/rs10837066_profile_position.png",4,220,900)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-0.1612954231999999</v>
      </c>
      <c r="G535" t="n">
        <v>0.0274899480761815</v>
      </c>
      <c r="H535" t="n">
        <v>0.0201401682202679</v>
      </c>
      <c r="I535" t="n">
        <v>0.1280260212474862</v>
      </c>
      <c r="J535" t="n">
        <v>0.0801737232183065</v>
      </c>
      <c r="K535" t="n">
        <v>0.3754447823362644</v>
      </c>
      <c r="L535" t="b">
        <v>0</v>
      </c>
      <c r="M535" t="b">
        <v>0</v>
      </c>
      <c r="N535" t="inlineStr">
        <is>
          <t>ref</t>
        </is>
      </c>
      <c r="O535" t="n">
        <v>60</v>
      </c>
      <c r="P535" t="n">
        <v>0.02974</v>
      </c>
      <c r="Q535" t="n">
        <v>60</v>
      </c>
      <c r="R535" t="n">
        <v>0.3335</v>
      </c>
      <c r="S535">
        <f>IMAGE("https://mitra.stanford.edu/kundaje/oak/projects/neuro-variants/variant_position/credible/roussos_2024/variant_figures/roussos_2024.childhood.Astrocyte/rs12365929_count_position.png",4,220,900)</f>
        <v/>
      </c>
      <c r="T535">
        <f>IMAGE("https://mitra.stanford.edu/kundaje/oak/projects/neuro-variants/variant_position/credible/roussos_2024/variant_figures/roussos_2024.childhood.Astrocyte/rs12365929_profile_position.png",4,220,900)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-0.0091538536399999</v>
      </c>
      <c r="G536" t="n">
        <v>0.7537642619082222</v>
      </c>
      <c r="H536" t="n">
        <v>0.0280609674518493</v>
      </c>
      <c r="I536" t="n">
        <v>0.0386818419182295</v>
      </c>
      <c r="J536" t="n">
        <v>0.042979704304153</v>
      </c>
      <c r="K536" t="n">
        <v>0.4768978156711642</v>
      </c>
      <c r="L536" t="b">
        <v>0</v>
      </c>
      <c r="M536" t="b">
        <v>0</v>
      </c>
      <c r="N536" t="inlineStr">
        <is>
          <t>ref</t>
        </is>
      </c>
      <c r="O536" t="n">
        <v>-40</v>
      </c>
      <c r="P536" t="n">
        <v>0.10425</v>
      </c>
      <c r="Q536" t="n">
        <v>95</v>
      </c>
      <c r="R536" t="n">
        <v>0.1558</v>
      </c>
      <c r="S536">
        <f>IMAGE("https://mitra.stanford.edu/kundaje/oak/projects/neuro-variants/variant_position/credible/roussos_2024/variant_figures/roussos_2024.childhood.Astrocyte/rs67617610_count_position.png",4,220,900)</f>
        <v/>
      </c>
      <c r="T536">
        <f>IMAGE("https://mitra.stanford.edu/kundaje/oak/projects/neuro-variants/variant_position/credible/roussos_2024/variant_figures/roussos_2024.childhood.Astrocyte/rs67617610_profile_position.png",4,220,900)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-0.0558870614</v>
      </c>
      <c r="G537" t="n">
        <v>0.1864466392291372</v>
      </c>
      <c r="H537" t="n">
        <v>0.0120702772152353</v>
      </c>
      <c r="I537" t="n">
        <v>0.5123388437029872</v>
      </c>
      <c r="J537" t="n">
        <v>8.625098272689694e-05</v>
      </c>
      <c r="K537" t="n">
        <v>0.9901203741514408</v>
      </c>
      <c r="L537" t="b">
        <v>0</v>
      </c>
      <c r="M537" t="b">
        <v>0</v>
      </c>
      <c r="N537" t="inlineStr">
        <is>
          <t>ref</t>
        </is>
      </c>
      <c r="O537" t="n">
        <v>75</v>
      </c>
      <c r="P537" t="n">
        <v>0.012085</v>
      </c>
      <c r="Q537" t="n">
        <v>80</v>
      </c>
      <c r="R537" t="n">
        <v>0.1152</v>
      </c>
      <c r="S537">
        <f>IMAGE("https://mitra.stanford.edu/kundaje/oak/projects/neuro-variants/variant_position/credible/roussos_2024/variant_figures/roussos_2024.childhood.Astrocyte/rs10837072_count_position.png",4,220,900)</f>
        <v/>
      </c>
      <c r="T537">
        <f>IMAGE("https://mitra.stanford.edu/kundaje/oak/projects/neuro-variants/variant_position/credible/roussos_2024/variant_figures/roussos_2024.childhood.Astrocyte/rs10837072_profile_position.png",4,220,900)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0.0221142794</v>
      </c>
      <c r="G538" t="n">
        <v>0.481698521874119</v>
      </c>
      <c r="H538" t="n">
        <v>0.0464314266460255</v>
      </c>
      <c r="I538" t="n">
        <v>0.0053226099208285</v>
      </c>
      <c r="J538" t="n">
        <v>0.0013571172326409</v>
      </c>
      <c r="K538" t="n">
        <v>0.9002874245180948</v>
      </c>
      <c r="L538" t="b">
        <v>0</v>
      </c>
      <c r="M538" t="b">
        <v>0</v>
      </c>
      <c r="N538" t="inlineStr">
        <is>
          <t>alt</t>
        </is>
      </c>
      <c r="O538" t="n">
        <v>-100</v>
      </c>
      <c r="P538" t="n">
        <v>0.01624</v>
      </c>
      <c r="Q538" t="n">
        <v>40</v>
      </c>
      <c r="R538" t="n">
        <v>0.044</v>
      </c>
      <c r="S538">
        <f>IMAGE("https://mitra.stanford.edu/kundaje/oak/projects/neuro-variants/variant_position/credible/roussos_2024/variant_figures/roussos_2024.childhood.Astrocyte/rs12277025_count_position.png",4,220,900)</f>
        <v/>
      </c>
      <c r="T538">
        <f>IMAGE("https://mitra.stanford.edu/kundaje/oak/projects/neuro-variants/variant_position/credible/roussos_2024/variant_figures/roussos_2024.childhood.Astrocyte/rs12277025_profile_position.png",4,220,900)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-0.0219615744</v>
      </c>
      <c r="G539" t="n">
        <v>0.4966079084765301</v>
      </c>
      <c r="H539" t="n">
        <v>0.0358574090526894</v>
      </c>
      <c r="I539" t="n">
        <v>0.0149870483760323</v>
      </c>
      <c r="J539" t="n">
        <v>0.0047644126918702</v>
      </c>
      <c r="K539" t="n">
        <v>0.7826660021988323</v>
      </c>
      <c r="L539" t="b">
        <v>0</v>
      </c>
      <c r="M539" t="b">
        <v>0</v>
      </c>
      <c r="N539" t="inlineStr">
        <is>
          <t>ref</t>
        </is>
      </c>
      <c r="O539" t="n">
        <v>-55</v>
      </c>
      <c r="P539" t="n">
        <v>0.003235</v>
      </c>
      <c r="Q539" t="n">
        <v>-40</v>
      </c>
      <c r="R539" t="n">
        <v>0.0842</v>
      </c>
      <c r="S539">
        <f>IMAGE("https://mitra.stanford.edu/kundaje/oak/projects/neuro-variants/variant_position/credible/roussos_2024/variant_figures/roussos_2024.childhood.Astrocyte/rs10837077_count_position.png",4,220,900)</f>
        <v/>
      </c>
      <c r="T539">
        <f>IMAGE("https://mitra.stanford.edu/kundaje/oak/projects/neuro-variants/variant_position/credible/roussos_2024/variant_figures/roussos_2024.childhood.Astrocyte/rs10837077_profile_position.png",4,220,900)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-0.0060683672845</v>
      </c>
      <c r="G540" t="n">
        <v>0.7499650359007106</v>
      </c>
      <c r="H540" t="n">
        <v>0.031700734436745</v>
      </c>
      <c r="I540" t="n">
        <v>0.0236900476128616</v>
      </c>
      <c r="J540" t="n">
        <v>0.0074290337600085</v>
      </c>
      <c r="K540" t="n">
        <v>0.7342420955545683</v>
      </c>
      <c r="L540" t="b">
        <v>0</v>
      </c>
      <c r="M540" t="b">
        <v>0</v>
      </c>
      <c r="N540" t="inlineStr">
        <is>
          <t>ref</t>
        </is>
      </c>
      <c r="O540" t="n">
        <v>100</v>
      </c>
      <c r="P540" t="n">
        <v>0.00412</v>
      </c>
      <c r="Q540" t="n">
        <v>-100</v>
      </c>
      <c r="R540" t="n">
        <v>0.01953</v>
      </c>
      <c r="S540">
        <f>IMAGE("https://mitra.stanford.edu/kundaje/oak/projects/neuro-variants/variant_position/credible/roussos_2024/variant_figures/roussos_2024.childhood.Astrocyte/rs10501212_count_position.png",4,220,900)</f>
        <v/>
      </c>
      <c r="T540">
        <f>IMAGE("https://mitra.stanford.edu/kundaje/oak/projects/neuro-variants/variant_position/credible/roussos_2024/variant_figures/roussos_2024.childhood.Astrocyte/rs10501212_profile_position.png",4,220,900)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0.0078120513399999</v>
      </c>
      <c r="G541" t="n">
        <v>0.6819420436247462</v>
      </c>
      <c r="H541" t="n">
        <v>0.0231455132028401</v>
      </c>
      <c r="I541" t="n">
        <v>0.0787086797618371</v>
      </c>
      <c r="J541" t="n">
        <v>0.015432819643852</v>
      </c>
      <c r="K541" t="n">
        <v>0.6301233635354183</v>
      </c>
      <c r="L541" t="b">
        <v>0</v>
      </c>
      <c r="M541" t="b">
        <v>0</v>
      </c>
      <c r="N541" t="inlineStr">
        <is>
          <t>alt</t>
        </is>
      </c>
      <c r="O541" t="n">
        <v>100</v>
      </c>
      <c r="P541" t="n">
        <v>0.02895</v>
      </c>
      <c r="Q541" t="n">
        <v>100</v>
      </c>
      <c r="R541" t="n">
        <v>0.10297</v>
      </c>
      <c r="S541">
        <f>IMAGE("https://mitra.stanford.edu/kundaje/oak/projects/neuro-variants/variant_position/credible/roussos_2024/variant_figures/roussos_2024.childhood.Astrocyte/rs10837082_count_position.png",4,220,900)</f>
        <v/>
      </c>
      <c r="T541">
        <f>IMAGE("https://mitra.stanford.edu/kundaje/oak/projects/neuro-variants/variant_position/credible/roussos_2024/variant_figures/roussos_2024.childhood.Astrocyte/rs10837082_profile_position.png",4,220,900)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-0.00029935944</v>
      </c>
      <c r="G542" t="n">
        <v>0.8542147074116483</v>
      </c>
      <c r="H542" t="n">
        <v>0.0328709418168899</v>
      </c>
      <c r="I542" t="n">
        <v>0.0209446324742586</v>
      </c>
      <c r="J542" t="n">
        <v>0.0020837626800393</v>
      </c>
      <c r="K542" t="n">
        <v>0.8584652136024267</v>
      </c>
      <c r="L542" t="b">
        <v>0</v>
      </c>
      <c r="M542" t="b">
        <v>0</v>
      </c>
      <c r="N542" t="inlineStr">
        <is>
          <t>ref</t>
        </is>
      </c>
      <c r="O542" t="n">
        <v>100</v>
      </c>
      <c r="P542" t="n">
        <v>0.1569</v>
      </c>
      <c r="Q542" t="n">
        <v>100</v>
      </c>
      <c r="R542" t="n">
        <v>0.136</v>
      </c>
      <c r="S542">
        <f>IMAGE("https://mitra.stanford.edu/kundaje/oak/projects/neuro-variants/variant_position/credible/roussos_2024/variant_figures/roussos_2024.childhood.Astrocyte/rs11035025_count_position.png",4,220,900)</f>
        <v/>
      </c>
      <c r="T542">
        <f>IMAGE("https://mitra.stanford.edu/kundaje/oak/projects/neuro-variants/variant_position/credible/roussos_2024/variant_figures/roussos_2024.childhood.Astrocyte/rs11035025_profile_position.png",4,220,900)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0.00135439312</v>
      </c>
      <c r="G543" t="n">
        <v>0.7753531606774196</v>
      </c>
      <c r="H543" t="n">
        <v>0.0111934128292658</v>
      </c>
      <c r="I543" t="n">
        <v>0.5946848722632863</v>
      </c>
      <c r="J543" t="n">
        <v>0.0045117660079533</v>
      </c>
      <c r="K543" t="n">
        <v>0.783985456145306</v>
      </c>
      <c r="L543" t="b">
        <v>0</v>
      </c>
      <c r="M543" t="b">
        <v>0</v>
      </c>
      <c r="N543" t="inlineStr">
        <is>
          <t>alt</t>
        </is>
      </c>
      <c r="O543" t="n">
        <v>-55</v>
      </c>
      <c r="P543" t="n">
        <v>0.008255</v>
      </c>
      <c r="Q543" t="n">
        <v>5</v>
      </c>
      <c r="R543" t="n">
        <v>0.003174</v>
      </c>
      <c r="S543">
        <f>IMAGE("https://mitra.stanford.edu/kundaje/oak/projects/neuro-variants/variant_position/credible/roussos_2024/variant_figures/roussos_2024.childhood.Astrocyte/rs7119965_count_position.png",4,220,900)</f>
        <v/>
      </c>
      <c r="T543">
        <f>IMAGE("https://mitra.stanford.edu/kundaje/oak/projects/neuro-variants/variant_position/credible/roussos_2024/variant_figures/roussos_2024.childhood.Astrocyte/rs7119965_profile_position.png",4,220,900)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-0.162290074</v>
      </c>
      <c r="G544" t="n">
        <v>0.0284146117568629</v>
      </c>
      <c r="H544" t="n">
        <v>0.0173570830442405</v>
      </c>
      <c r="I544" t="n">
        <v>0.2043560162155291</v>
      </c>
      <c r="J544" t="n">
        <v>0.020907848839428</v>
      </c>
      <c r="K544" t="n">
        <v>0.6003726116296607</v>
      </c>
      <c r="L544" t="b">
        <v>0</v>
      </c>
      <c r="M544" t="b">
        <v>0</v>
      </c>
      <c r="N544" t="inlineStr">
        <is>
          <t>ref</t>
        </is>
      </c>
      <c r="O544" t="n">
        <v>5</v>
      </c>
      <c r="P544" t="n">
        <v>0.001507</v>
      </c>
      <c r="Q544" t="n">
        <v>15</v>
      </c>
      <c r="R544" t="n">
        <v>0.02295</v>
      </c>
      <c r="S544">
        <f>IMAGE("https://mitra.stanford.edu/kundaje/oak/projects/neuro-variants/variant_position/credible/roussos_2024/variant_figures/roussos_2024.childhood.Astrocyte/rs10768438_count_position.png",4,220,900)</f>
        <v/>
      </c>
      <c r="T544">
        <f>IMAGE("https://mitra.stanford.edu/kundaje/oak/projects/neuro-variants/variant_position/credible/roussos_2024/variant_figures/roussos_2024.childhood.Astrocyte/rs10768438_profile_position.png",4,220,900)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0.0311801568</v>
      </c>
      <c r="G545" t="n">
        <v>0.3761465223998341</v>
      </c>
      <c r="H545" t="n">
        <v>0.0372369130129058</v>
      </c>
      <c r="I545" t="n">
        <v>0.0132263517066635</v>
      </c>
      <c r="J545" t="n">
        <v>0.0217986001389174</v>
      </c>
      <c r="K545" t="n">
        <v>0.593107735599126</v>
      </c>
      <c r="L545" t="b">
        <v>1</v>
      </c>
      <c r="M545" t="b">
        <v>0</v>
      </c>
      <c r="N545" t="inlineStr">
        <is>
          <t>alt</t>
        </is>
      </c>
      <c r="O545" t="n">
        <v>-55</v>
      </c>
      <c r="P545" t="n">
        <v>0.003479</v>
      </c>
      <c r="Q545" t="n">
        <v>0</v>
      </c>
      <c r="R545" t="n">
        <v>0</v>
      </c>
      <c r="S545">
        <f>IMAGE("https://mitra.stanford.edu/kundaje/oak/projects/neuro-variants/variant_position/credible/roussos_2024/variant_figures/roussos_2024.childhood.Astrocyte/rs10837090_count_position.png",4,220,900)</f>
        <v/>
      </c>
      <c r="T545">
        <f>IMAGE("https://mitra.stanford.edu/kundaje/oak/projects/neuro-variants/variant_position/credible/roussos_2024/variant_figures/roussos_2024.childhood.Astrocyte/rs10837090_profile_position.png",4,220,900)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-0.0133770806999999</v>
      </c>
      <c r="G546" t="n">
        <v>0.6575813438520558</v>
      </c>
      <c r="H546" t="n">
        <v>0.0416037180430914</v>
      </c>
      <c r="I546" t="n">
        <v>0.0087407626308836</v>
      </c>
      <c r="J546" t="n">
        <v>0.1665918649294344</v>
      </c>
      <c r="K546" t="n">
        <v>0.2357074738673597</v>
      </c>
      <c r="L546" t="b">
        <v>1</v>
      </c>
      <c r="M546" t="b">
        <v>1</v>
      </c>
      <c r="N546" t="inlineStr">
        <is>
          <t>ref</t>
        </is>
      </c>
      <c r="O546" t="n">
        <v>-100</v>
      </c>
      <c r="P546" t="n">
        <v>0.1024</v>
      </c>
      <c r="Q546" t="n">
        <v>85</v>
      </c>
      <c r="R546" t="n">
        <v>0.1301</v>
      </c>
      <c r="S546">
        <f>IMAGE("https://mitra.stanford.edu/kundaje/oak/projects/neuro-variants/variant_position/credible/roussos_2024/variant_figures/roussos_2024.childhood.Astrocyte/rs200720298_count_position.png",4,220,900)</f>
        <v/>
      </c>
      <c r="T546">
        <f>IMAGE("https://mitra.stanford.edu/kundaje/oak/projects/neuro-variants/variant_position/credible/roussos_2024/variant_figures/roussos_2024.childhood.Astrocyte/rs200720298_profile_position.png",4,220,900)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-0.009970793</v>
      </c>
      <c r="G547" t="n">
        <v>0.33645726126659</v>
      </c>
      <c r="H547" t="n">
        <v>0.0290644030937254</v>
      </c>
      <c r="I547" t="n">
        <v>0.0342600466465394</v>
      </c>
      <c r="J547" t="n">
        <v>0.3008884614503904</v>
      </c>
      <c r="K547" t="n">
        <v>0.1324685989883294</v>
      </c>
      <c r="L547" t="b">
        <v>0</v>
      </c>
      <c r="M547" t="b">
        <v>0</v>
      </c>
      <c r="N547" t="inlineStr">
        <is>
          <t>ref</t>
        </is>
      </c>
      <c r="O547" t="n">
        <v>-40</v>
      </c>
      <c r="P547" t="n">
        <v>0.00296</v>
      </c>
      <c r="Q547" t="n">
        <v>-40</v>
      </c>
      <c r="R547" t="n">
        <v>0.1813</v>
      </c>
      <c r="S547">
        <f>IMAGE("https://mitra.stanford.edu/kundaje/oak/projects/neuro-variants/variant_position/credible/roussos_2024/variant_figures/roussos_2024.childhood.Astrocyte/rs3740974_count_position.png",4,220,900)</f>
        <v/>
      </c>
      <c r="T547">
        <f>IMAGE("https://mitra.stanford.edu/kundaje/oak/projects/neuro-variants/variant_position/credible/roussos_2024/variant_figures/roussos_2024.childhood.Astrocyte/rs3740974_profile_position.png",4,220,900)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0.260360304</v>
      </c>
      <c r="G548" t="n">
        <v>0.008714289838562201</v>
      </c>
      <c r="H548" t="n">
        <v>0.0313596093338002</v>
      </c>
      <c r="I548" t="n">
        <v>0.0265225894820877</v>
      </c>
      <c r="J548" t="n">
        <v>0.0828154457954553</v>
      </c>
      <c r="K548" t="n">
        <v>0.3638034388414397</v>
      </c>
      <c r="L548" t="b">
        <v>1</v>
      </c>
      <c r="M548" t="b">
        <v>1</v>
      </c>
      <c r="N548" t="inlineStr">
        <is>
          <t>alt</t>
        </is>
      </c>
      <c r="O548" t="n">
        <v>-85</v>
      </c>
      <c r="P548" t="n">
        <v>0.00717</v>
      </c>
      <c r="Q548" t="n">
        <v>5</v>
      </c>
      <c r="R548" t="n">
        <v>0.002686</v>
      </c>
      <c r="S548">
        <f>IMAGE("https://mitra.stanford.edu/kundaje/oak/projects/neuro-variants/variant_position/credible/roussos_2024/variant_figures/roussos_2024.childhood.Astrocyte/rs12283172_count_position.png",4,220,900)</f>
        <v/>
      </c>
      <c r="T548">
        <f>IMAGE("https://mitra.stanford.edu/kundaje/oak/projects/neuro-variants/variant_position/credible/roussos_2024/variant_figures/roussos_2024.childhood.Astrocyte/rs12283172_profile_position.png",4,220,900)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-0.0808091948</v>
      </c>
      <c r="G549" t="n">
        <v>0.1134246622916128</v>
      </c>
      <c r="H549" t="n">
        <v>0.0130889816674146</v>
      </c>
      <c r="I549" t="n">
        <v>0.4238592373473347</v>
      </c>
      <c r="J549" t="n">
        <v>0.1316709028874996</v>
      </c>
      <c r="K549" t="n">
        <v>0.2727536002773424</v>
      </c>
      <c r="L549" t="b">
        <v>0</v>
      </c>
      <c r="M549" t="b">
        <v>0</v>
      </c>
      <c r="N549" t="inlineStr">
        <is>
          <t>ref</t>
        </is>
      </c>
      <c r="O549" t="n">
        <v>100</v>
      </c>
      <c r="P549" t="n">
        <v>0.01041</v>
      </c>
      <c r="Q549" t="n">
        <v>90</v>
      </c>
      <c r="R549" t="n">
        <v>0.09229999999999999</v>
      </c>
      <c r="S549">
        <f>IMAGE("https://mitra.stanford.edu/kundaje/oak/projects/neuro-variants/variant_position/credible/roussos_2024/variant_figures/roussos_2024.childhood.Astrocyte/rs2864076_count_position.png",4,220,900)</f>
        <v/>
      </c>
      <c r="T549">
        <f>IMAGE("https://mitra.stanford.edu/kundaje/oak/projects/neuro-variants/variant_position/credible/roussos_2024/variant_figures/roussos_2024.childhood.Astrocyte/rs2864076_profile_position.png",4,220,900)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-0.0092397113</v>
      </c>
      <c r="G550" t="n">
        <v>0.7348537178523912</v>
      </c>
      <c r="H550" t="n">
        <v>0.031600897498299</v>
      </c>
      <c r="I550" t="n">
        <v>0.0245134978693733</v>
      </c>
      <c r="J550" t="n">
        <v>0.0105271995908802</v>
      </c>
      <c r="K550" t="n">
        <v>0.6935428031877475</v>
      </c>
      <c r="L550" t="b">
        <v>0</v>
      </c>
      <c r="M550" t="b">
        <v>0</v>
      </c>
      <c r="N550" t="inlineStr">
        <is>
          <t>ref</t>
        </is>
      </c>
      <c r="O550" t="n">
        <v>-75</v>
      </c>
      <c r="P550" t="n">
        <v>0.02211</v>
      </c>
      <c r="Q550" t="n">
        <v>100</v>
      </c>
      <c r="R550" t="n">
        <v>0.08935999999999999</v>
      </c>
      <c r="S550">
        <f>IMAGE("https://mitra.stanford.edu/kundaje/oak/projects/neuro-variants/variant_position/credible/roussos_2024/variant_figures/roussos_2024.childhood.Astrocyte/rs115292163_count_position.png",4,220,900)</f>
        <v/>
      </c>
      <c r="T550">
        <f>IMAGE("https://mitra.stanford.edu/kundaje/oak/projects/neuro-variants/variant_position/credible/roussos_2024/variant_figures/roussos_2024.childhood.Astrocyte/rs115292163_profile_position.png",4,220,900)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0.1289502202</v>
      </c>
      <c r="G551" t="n">
        <v>0.0640390111415111</v>
      </c>
      <c r="H551" t="n">
        <v>0.0145715343780119</v>
      </c>
      <c r="I551" t="n">
        <v>0.3171784195431557</v>
      </c>
      <c r="J551" t="n">
        <v>0.1132650958301847</v>
      </c>
      <c r="K551" t="n">
        <v>0.3040583323505763</v>
      </c>
      <c r="L551" t="b">
        <v>0</v>
      </c>
      <c r="M551" t="b">
        <v>0</v>
      </c>
      <c r="N551" t="inlineStr">
        <is>
          <t>alt</t>
        </is>
      </c>
      <c r="O551" t="n">
        <v>55</v>
      </c>
      <c r="P551" t="n">
        <v>0.002499</v>
      </c>
      <c r="Q551" t="n">
        <v>20</v>
      </c>
      <c r="R551" t="n">
        <v>0.07006999999999999</v>
      </c>
      <c r="S551">
        <f>IMAGE("https://mitra.stanford.edu/kundaje/oak/projects/neuro-variants/variant_position/credible/roussos_2024/variant_figures/roussos_2024.childhood.Astrocyte/rs7130141_count_position.png",4,220,900)</f>
        <v/>
      </c>
      <c r="T551">
        <f>IMAGE("https://mitra.stanford.edu/kundaje/oak/projects/neuro-variants/variant_position/credible/roussos_2024/variant_figures/roussos_2024.childhood.Astrocyte/rs7130141_profile_position.png",4,220,900)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-0.0138263254839999</v>
      </c>
      <c r="G552" t="n">
        <v>0.659846572418505</v>
      </c>
      <c r="H552" t="n">
        <v>0.0161856309610949</v>
      </c>
      <c r="I552" t="n">
        <v>0.2473880580488732</v>
      </c>
      <c r="J552" t="n">
        <v>0.2144168899269538</v>
      </c>
      <c r="K552" t="n">
        <v>0.1894187291860836</v>
      </c>
      <c r="L552" t="b">
        <v>0</v>
      </c>
      <c r="M552" t="b">
        <v>0</v>
      </c>
      <c r="N552" t="inlineStr">
        <is>
          <t>ref</t>
        </is>
      </c>
      <c r="O552" t="n">
        <v>-65</v>
      </c>
      <c r="P552" t="n">
        <v>0.01059</v>
      </c>
      <c r="Q552" t="n">
        <v>-15</v>
      </c>
      <c r="R552" t="n">
        <v>0.03062</v>
      </c>
      <c r="S552">
        <f>IMAGE("https://mitra.stanford.edu/kundaje/oak/projects/neuro-variants/variant_position/credible/roussos_2024/variant_figures/roussos_2024.childhood.Astrocyte/rs3802888_count_position.png",4,220,900)</f>
        <v/>
      </c>
      <c r="T552">
        <f>IMAGE("https://mitra.stanford.edu/kundaje/oak/projects/neuro-variants/variant_position/credible/roussos_2024/variant_figures/roussos_2024.childhood.Astrocyte/rs3802888_profile_position.png",4,220,900)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-0.0335385564799999</v>
      </c>
      <c r="G553" t="n">
        <v>0.3698642777616492</v>
      </c>
      <c r="H553" t="n">
        <v>0.009726178265569801</v>
      </c>
      <c r="I553" t="n">
        <v>0.7353693967688316</v>
      </c>
      <c r="J553" t="n">
        <v>0.3007304618625632</v>
      </c>
      <c r="K553" t="n">
        <v>0.1331480693311637</v>
      </c>
      <c r="L553" t="b">
        <v>0</v>
      </c>
      <c r="M553" t="b">
        <v>0</v>
      </c>
      <c r="N553" t="inlineStr">
        <is>
          <t>ref</t>
        </is>
      </c>
      <c r="O553" t="n">
        <v>-80</v>
      </c>
      <c r="P553" t="n">
        <v>0.01901</v>
      </c>
      <c r="Q553" t="n">
        <v>100</v>
      </c>
      <c r="R553" t="n">
        <v>0.131</v>
      </c>
      <c r="S553">
        <f>IMAGE("https://mitra.stanford.edu/kundaje/oak/projects/neuro-variants/variant_position/credible/roussos_2024/variant_figures/roussos_2024.childhood.Astrocyte/rs17197116_count_position.png",4,220,900)</f>
        <v/>
      </c>
      <c r="T553">
        <f>IMAGE("https://mitra.stanford.edu/kundaje/oak/projects/neuro-variants/variant_position/credible/roussos_2024/variant_figures/roussos_2024.childhood.Astrocyte/rs17197116_profile_position.png",4,220,900)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-0.00468837838</v>
      </c>
      <c r="G554" t="n">
        <v>0.8437298135663902</v>
      </c>
      <c r="H554" t="n">
        <v>0.0427385224876803</v>
      </c>
      <c r="I554" t="n">
        <v>0.0075989897617942</v>
      </c>
      <c r="J554" t="n">
        <v>0.2415325196736201</v>
      </c>
      <c r="K554" t="n">
        <v>0.1689376722805452</v>
      </c>
      <c r="L554" t="b">
        <v>1</v>
      </c>
      <c r="M554" t="b">
        <v>1</v>
      </c>
      <c r="N554" t="inlineStr">
        <is>
          <t>ref</t>
        </is>
      </c>
      <c r="O554" t="n">
        <v>100</v>
      </c>
      <c r="P554" t="n">
        <v>0.005737</v>
      </c>
      <c r="Q554" t="n">
        <v>-95</v>
      </c>
      <c r="R554" t="n">
        <v>0.2847</v>
      </c>
      <c r="S554">
        <f>IMAGE("https://mitra.stanford.edu/kundaje/oak/projects/neuro-variants/variant_position/credible/roussos_2024/variant_figures/roussos_2024.childhood.Astrocyte/rs7932866_count_position.png",4,220,900)</f>
        <v/>
      </c>
      <c r="T554">
        <f>IMAGE("https://mitra.stanford.edu/kundaje/oak/projects/neuro-variants/variant_position/credible/roussos_2024/variant_figures/roussos_2024.childhood.Astrocyte/rs7932866_profile_position.png",4,220,900)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-0.01228746144</v>
      </c>
      <c r="G555" t="n">
        <v>0.6915024952755142</v>
      </c>
      <c r="H555" t="n">
        <v>0.0366071834426161</v>
      </c>
      <c r="I555" t="n">
        <v>0.0136228639976354</v>
      </c>
      <c r="J555" t="n">
        <v>0.0035477395372977</v>
      </c>
      <c r="K555" t="n">
        <v>0.8082543363893203</v>
      </c>
      <c r="L555" t="b">
        <v>0</v>
      </c>
      <c r="M555" t="b">
        <v>0</v>
      </c>
      <c r="N555" t="inlineStr">
        <is>
          <t>ref</t>
        </is>
      </c>
      <c r="O555" t="n">
        <v>-10</v>
      </c>
      <c r="P555" t="n">
        <v>0.0006104</v>
      </c>
      <c r="Q555" t="n">
        <v>-45</v>
      </c>
      <c r="R555" t="n">
        <v>0.02592</v>
      </c>
      <c r="S555">
        <f>IMAGE("https://mitra.stanford.edu/kundaje/oak/projects/neuro-variants/variant_position/credible/roussos_2024/variant_figures/roussos_2024.childhood.Astrocyte/rs11038919_count_position.png",4,220,900)</f>
        <v/>
      </c>
      <c r="T555">
        <f>IMAGE("https://mitra.stanford.edu/kundaje/oak/projects/neuro-variants/variant_position/credible/roussos_2024/variant_figures/roussos_2024.childhood.Astrocyte/rs11038919_profile_position.png",4,220,900)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-0.07690500159999999</v>
      </c>
      <c r="G556" t="n">
        <v>0.1287464886549142</v>
      </c>
      <c r="H556" t="n">
        <v>0.0158130775270099</v>
      </c>
      <c r="I556" t="n">
        <v>0.2717777705976944</v>
      </c>
      <c r="J556" t="n">
        <v>0.0409661636631478</v>
      </c>
      <c r="K556" t="n">
        <v>0.4821711538276558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0.008670000000000001</v>
      </c>
      <c r="Q556" t="n">
        <v>-100</v>
      </c>
      <c r="R556" t="n">
        <v>0.11255</v>
      </c>
      <c r="S556">
        <f>IMAGE("https://mitra.stanford.edu/kundaje/oak/projects/neuro-variants/variant_position/credible/roussos_2024/variant_figures/roussos_2024.childhood.Astrocyte/rs61882757_count_position.png",4,220,900)</f>
        <v/>
      </c>
      <c r="T556">
        <f>IMAGE("https://mitra.stanford.edu/kundaje/oak/projects/neuro-variants/variant_position/credible/roussos_2024/variant_figures/roussos_2024.childhood.Astrocyte/rs61882757_profile_position.png",4,220,900)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0.00134308695</v>
      </c>
      <c r="G557" t="n">
        <v>0.8659876974009046</v>
      </c>
      <c r="H557" t="n">
        <v>0.0104331166930909</v>
      </c>
      <c r="I557" t="n">
        <v>0.6625299892950224</v>
      </c>
      <c r="J557" t="n">
        <v>0.0024341095921778</v>
      </c>
      <c r="K557" t="n">
        <v>0.84166334560572</v>
      </c>
      <c r="L557" t="b">
        <v>0</v>
      </c>
      <c r="M557" t="b">
        <v>0</v>
      </c>
      <c r="N557" t="inlineStr">
        <is>
          <t>alt</t>
        </is>
      </c>
      <c r="O557" t="n">
        <v>15</v>
      </c>
      <c r="P557" t="n">
        <v>0.002655</v>
      </c>
      <c r="Q557" t="n">
        <v>10</v>
      </c>
      <c r="R557" t="n">
        <v>0.014404</v>
      </c>
      <c r="S557">
        <f>IMAGE("https://mitra.stanford.edu/kundaje/oak/projects/neuro-variants/variant_position/credible/roussos_2024/variant_figures/roussos_2024.childhood.Astrocyte/rs55657382_count_position.png",4,220,900)</f>
        <v/>
      </c>
      <c r="T557">
        <f>IMAGE("https://mitra.stanford.edu/kundaje/oak/projects/neuro-variants/variant_position/credible/roussos_2024/variant_figures/roussos_2024.childhood.Astrocyte/rs55657382_profile_position.png",4,220,900)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-0.0465774407999999</v>
      </c>
      <c r="G558" t="n">
        <v>0.2404362237232592</v>
      </c>
      <c r="H558" t="n">
        <v>0.0514367149586742</v>
      </c>
      <c r="I558" t="n">
        <v>0.0037789609341676</v>
      </c>
      <c r="J558" t="n">
        <v>0.0101501377725874</v>
      </c>
      <c r="K558" t="n">
        <v>0.6915820994402534</v>
      </c>
      <c r="L558" t="b">
        <v>1</v>
      </c>
      <c r="M558" t="b">
        <v>0</v>
      </c>
      <c r="N558" t="inlineStr">
        <is>
          <t>ref</t>
        </is>
      </c>
      <c r="O558" t="n">
        <v>0</v>
      </c>
      <c r="P558" t="n">
        <v>0</v>
      </c>
      <c r="Q558" t="n">
        <v>-40</v>
      </c>
      <c r="R558" t="n">
        <v>0.0956</v>
      </c>
      <c r="S558">
        <f>IMAGE("https://mitra.stanford.edu/kundaje/oak/projects/neuro-variants/variant_position/credible/roussos_2024/variant_figures/roussos_2024.childhood.Astrocyte/rs7128092_count_position.png",4,220,900)</f>
        <v/>
      </c>
      <c r="T558">
        <f>IMAGE("https://mitra.stanford.edu/kundaje/oak/projects/neuro-variants/variant_position/credible/roussos_2024/variant_figures/roussos_2024.childhood.Astrocyte/rs7128092_profile_position.png",4,220,900)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0.0973024596</v>
      </c>
      <c r="G559" t="n">
        <v>0.0820412438964102</v>
      </c>
      <c r="H559" t="n">
        <v>0.0131259779950214</v>
      </c>
      <c r="I559" t="n">
        <v>0.4164247922985493</v>
      </c>
      <c r="J559" t="n">
        <v>0.0349530199293199</v>
      </c>
      <c r="K559" t="n">
        <v>0.5036447504683302</v>
      </c>
      <c r="L559" t="b">
        <v>0</v>
      </c>
      <c r="M559" t="b">
        <v>0</v>
      </c>
      <c r="N559" t="inlineStr">
        <is>
          <t>alt</t>
        </is>
      </c>
      <c r="O559" t="n">
        <v>90</v>
      </c>
      <c r="P559" t="n">
        <v>0.00865</v>
      </c>
      <c r="Q559" t="n">
        <v>100</v>
      </c>
      <c r="R559" t="n">
        <v>0.1769</v>
      </c>
      <c r="S559">
        <f>IMAGE("https://mitra.stanford.edu/kundaje/oak/projects/neuro-variants/variant_position/credible/roussos_2024/variant_figures/roussos_2024.childhood.Astrocyte/rs61884274_count_position.png",4,220,900)</f>
        <v/>
      </c>
      <c r="T559">
        <f>IMAGE("https://mitra.stanford.edu/kundaje/oak/projects/neuro-variants/variant_position/credible/roussos_2024/variant_figures/roussos_2024.childhood.Astrocyte/rs61884274_profile_position.png",4,220,900)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-0.150881457</v>
      </c>
      <c r="G560" t="n">
        <v>0.0313361807862789</v>
      </c>
      <c r="H560" t="n">
        <v>0.0144888864427853</v>
      </c>
      <c r="I560" t="n">
        <v>0.329358781750272</v>
      </c>
      <c r="J560" t="n">
        <v>0.2694656255486096</v>
      </c>
      <c r="K560" t="n">
        <v>0.1501616242608862</v>
      </c>
      <c r="L560" t="b">
        <v>0</v>
      </c>
      <c r="M560" t="b">
        <v>0</v>
      </c>
      <c r="N560" t="inlineStr">
        <is>
          <t>ref</t>
        </is>
      </c>
      <c r="O560" t="n">
        <v>5</v>
      </c>
      <c r="P560" t="n">
        <v>0.001228</v>
      </c>
      <c r="Q560" t="n">
        <v>-75</v>
      </c>
      <c r="R560" t="n">
        <v>0.06909999999999999</v>
      </c>
      <c r="S560">
        <f>IMAGE("https://mitra.stanford.edu/kundaje/oak/projects/neuro-variants/variant_position/credible/roussos_2024/variant_figures/roussos_2024.childhood.Astrocyte/rs10838610_count_position.png",4,220,900)</f>
        <v/>
      </c>
      <c r="T560">
        <f>IMAGE("https://mitra.stanford.edu/kundaje/oak/projects/neuro-variants/variant_position/credible/roussos_2024/variant_figures/roussos_2024.childhood.Astrocyte/rs10838610_profile_position.png",4,220,900)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0.01540052992</v>
      </c>
      <c r="G561" t="n">
        <v>0.5941021476787558</v>
      </c>
      <c r="H561" t="n">
        <v>0.0135322335591848</v>
      </c>
      <c r="I561" t="n">
        <v>0.3853205066082256</v>
      </c>
      <c r="J561" t="n">
        <v>0.009374642211078201</v>
      </c>
      <c r="K561" t="n">
        <v>0.7038297132789618</v>
      </c>
      <c r="L561" t="b">
        <v>0</v>
      </c>
      <c r="M561" t="b">
        <v>0</v>
      </c>
      <c r="N561" t="inlineStr">
        <is>
          <t>alt</t>
        </is>
      </c>
      <c r="O561" t="n">
        <v>30</v>
      </c>
      <c r="P561" t="n">
        <v>0.005524</v>
      </c>
      <c r="Q561" t="n">
        <v>-80</v>
      </c>
      <c r="R561" t="n">
        <v>0.1853</v>
      </c>
      <c r="S561">
        <f>IMAGE("https://mitra.stanford.edu/kundaje/oak/projects/neuro-variants/variant_position/credible/roussos_2024/variant_figures/roussos_2024.childhood.Astrocyte/rs10466477_count_position.png",4,220,900)</f>
        <v/>
      </c>
      <c r="T561">
        <f>IMAGE("https://mitra.stanford.edu/kundaje/oak/projects/neuro-variants/variant_position/credible/roussos_2024/variant_figures/roussos_2024.childhood.Astrocyte/rs10466477_profile_position.png",4,220,900)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0.00305674672</v>
      </c>
      <c r="G562" t="n">
        <v>0.8885094075446739</v>
      </c>
      <c r="H562" t="n">
        <v>0.0358175623970856</v>
      </c>
      <c r="I562" t="n">
        <v>0.0148517590296185</v>
      </c>
      <c r="J562" t="n">
        <v>0.0028813934495049</v>
      </c>
      <c r="K562" t="n">
        <v>0.8937131744111834</v>
      </c>
      <c r="L562" t="b">
        <v>0</v>
      </c>
      <c r="M562" t="b">
        <v>0</v>
      </c>
      <c r="N562" t="inlineStr">
        <is>
          <t>alt</t>
        </is>
      </c>
      <c r="O562" t="n">
        <v>-60</v>
      </c>
      <c r="P562" t="n">
        <v>0.011024</v>
      </c>
      <c r="Q562" t="n">
        <v>-65</v>
      </c>
      <c r="R562" t="n">
        <v>0.0956</v>
      </c>
      <c r="S562">
        <f>IMAGE("https://mitra.stanford.edu/kundaje/oak/projects/neuro-variants/variant_position/credible/roussos_2024/variant_figures/roussos_2024.childhood.Astrocyte/rs7111811_count_position.png",4,220,900)</f>
        <v/>
      </c>
      <c r="T562">
        <f>IMAGE("https://mitra.stanford.edu/kundaje/oak/projects/neuro-variants/variant_position/credible/roussos_2024/variant_figures/roussos_2024.childhood.Astrocyte/rs7111811_profile_position.png",4,220,900)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0.0553193432</v>
      </c>
      <c r="G563" t="n">
        <v>0.1829947290297661</v>
      </c>
      <c r="H563" t="n">
        <v>0.0118286746665447</v>
      </c>
      <c r="I563" t="n">
        <v>0.5193483540608751</v>
      </c>
      <c r="J563" t="n">
        <v>0.0024837229893216</v>
      </c>
      <c r="K563" t="n">
        <v>0.8394207819649759</v>
      </c>
      <c r="L563" t="b">
        <v>0</v>
      </c>
      <c r="M563" t="b">
        <v>0</v>
      </c>
      <c r="N563" t="inlineStr">
        <is>
          <t>alt</t>
        </is>
      </c>
      <c r="O563" t="n">
        <v>60</v>
      </c>
      <c r="P563" t="n">
        <v>0.00465</v>
      </c>
      <c r="Q563" t="n">
        <v>-100</v>
      </c>
      <c r="R563" t="n">
        <v>0.0249</v>
      </c>
      <c r="S563">
        <f>IMAGE("https://mitra.stanford.edu/kundaje/oak/projects/neuro-variants/variant_position/credible/roussos_2024/variant_figures/roussos_2024.childhood.Astrocyte/rs6485690_count_position.png",4,220,900)</f>
        <v/>
      </c>
      <c r="T563">
        <f>IMAGE("https://mitra.stanford.edu/kundaje/oak/projects/neuro-variants/variant_position/credible/roussos_2024/variant_figures/roussos_2024.childhood.Astrocyte/rs6485690_profile_position.png",4,220,900)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0.06533747199999999</v>
      </c>
      <c r="G564" t="n">
        <v>0.152694463592183</v>
      </c>
      <c r="H564" t="n">
        <v>0.0115385896143862</v>
      </c>
      <c r="I564" t="n">
        <v>0.5493361381322778</v>
      </c>
      <c r="J564" t="n">
        <v>0.026096646897636</v>
      </c>
      <c r="K564" t="n">
        <v>0.5478459890300642</v>
      </c>
      <c r="L564" t="b">
        <v>0</v>
      </c>
      <c r="M564" t="b">
        <v>0</v>
      </c>
      <c r="N564" t="inlineStr">
        <is>
          <t>alt</t>
        </is>
      </c>
      <c r="O564" t="n">
        <v>-85</v>
      </c>
      <c r="P564" t="n">
        <v>0.05557</v>
      </c>
      <c r="Q564" t="n">
        <v>-50</v>
      </c>
      <c r="R564" t="n">
        <v>0.0667</v>
      </c>
      <c r="S564">
        <f>IMAGE("https://mitra.stanford.edu/kundaje/oak/projects/neuro-variants/variant_position/credible/roussos_2024/variant_figures/roussos_2024.childhood.Astrocyte/rs7118097_count_position.png",4,220,900)</f>
        <v/>
      </c>
      <c r="T564">
        <f>IMAGE("https://mitra.stanford.edu/kundaje/oak/projects/neuro-variants/variant_position/credible/roussos_2024/variant_figures/roussos_2024.childhood.Astrocyte/rs7118097_profile_position.png",4,220,900)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0.00569893974</v>
      </c>
      <c r="G565" t="n">
        <v>0.7983590120097498</v>
      </c>
      <c r="H565" t="n">
        <v>0.0264835234107768</v>
      </c>
      <c r="I565" t="n">
        <v>0.047460061878345</v>
      </c>
      <c r="J565" t="n">
        <v>0.0060108538847289</v>
      </c>
      <c r="K565" t="n">
        <v>0.7589812965440362</v>
      </c>
      <c r="L565" t="b">
        <v>0</v>
      </c>
      <c r="M565" t="b">
        <v>0</v>
      </c>
      <c r="N565" t="inlineStr">
        <is>
          <t>alt</t>
        </is>
      </c>
      <c r="O565" t="n">
        <v>25</v>
      </c>
      <c r="P565" t="n">
        <v>0.0008774</v>
      </c>
      <c r="Q565" t="n">
        <v>40</v>
      </c>
      <c r="R565" t="n">
        <v>0.02399</v>
      </c>
      <c r="S565">
        <f>IMAGE("https://mitra.stanford.edu/kundaje/oak/projects/neuro-variants/variant_position/credible/roussos_2024/variant_figures/roussos_2024.childhood.Astrocyte/rs6485696_count_position.png",4,220,900)</f>
        <v/>
      </c>
      <c r="T565">
        <f>IMAGE("https://mitra.stanford.edu/kundaje/oak/projects/neuro-variants/variant_position/credible/roussos_2024/variant_figures/roussos_2024.childhood.Astrocyte/rs6485696_profile_position.png",4,220,900)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0.00630177114</v>
      </c>
      <c r="G566" t="n">
        <v>0.7772307271284291</v>
      </c>
      <c r="H566" t="n">
        <v>0.007932069580893699</v>
      </c>
      <c r="I566" t="n">
        <v>0.912695391962824</v>
      </c>
      <c r="J566" t="n">
        <v>0.003125644020059</v>
      </c>
      <c r="K566" t="n">
        <v>0.8245605536843862</v>
      </c>
      <c r="L566" t="b">
        <v>0</v>
      </c>
      <c r="M566" t="b">
        <v>0</v>
      </c>
      <c r="N566" t="inlineStr">
        <is>
          <t>alt</t>
        </is>
      </c>
      <c r="O566" t="n">
        <v>-60</v>
      </c>
      <c r="P566" t="n">
        <v>0.2666</v>
      </c>
      <c r="Q566" t="n">
        <v>-100</v>
      </c>
      <c r="R566" t="n">
        <v>0.1919</v>
      </c>
      <c r="S566">
        <f>IMAGE("https://mitra.stanford.edu/kundaje/oak/projects/neuro-variants/variant_position/credible/roussos_2024/variant_figures/roussos_2024.childhood.Astrocyte/rs11824327_count_position.png",4,220,900)</f>
        <v/>
      </c>
      <c r="T566">
        <f>IMAGE("https://mitra.stanford.edu/kundaje/oak/projects/neuro-variants/variant_position/credible/roussos_2024/variant_figures/roussos_2024.childhood.Astrocyte/rs11824327_profile_position.png",4,220,900)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-0.0201396057999999</v>
      </c>
      <c r="G567" t="n">
        <v>0.528387847924219</v>
      </c>
      <c r="H567" t="n">
        <v>0.0302137282424376</v>
      </c>
      <c r="I567" t="n">
        <v>0.0290603125569954</v>
      </c>
      <c r="J567" t="n">
        <v>0.0024211337806171</v>
      </c>
      <c r="K567" t="n">
        <v>0.8422631038898923</v>
      </c>
      <c r="L567" t="b">
        <v>0</v>
      </c>
      <c r="M567" t="b">
        <v>0</v>
      </c>
      <c r="N567" t="inlineStr">
        <is>
          <t>ref</t>
        </is>
      </c>
      <c r="O567" t="n">
        <v>-100</v>
      </c>
      <c r="P567" t="n">
        <v>0.01631</v>
      </c>
      <c r="Q567" t="n">
        <v>100</v>
      </c>
      <c r="R567" t="n">
        <v>0.1489</v>
      </c>
      <c r="S567">
        <f>IMAGE("https://mitra.stanford.edu/kundaje/oak/projects/neuro-variants/variant_position/credible/roussos_2024/variant_figures/roussos_2024.childhood.Astrocyte/rs7938960_count_position.png",4,220,900)</f>
        <v/>
      </c>
      <c r="T567">
        <f>IMAGE("https://mitra.stanford.edu/kundaje/oak/projects/neuro-variants/variant_position/credible/roussos_2024/variant_figures/roussos_2024.childhood.Astrocyte/rs7938960_profile_position.png",4,220,900)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-0.0179942046</v>
      </c>
      <c r="G568" t="n">
        <v>0.5677110036534907</v>
      </c>
      <c r="H568" t="n">
        <v>0.0303813132264866</v>
      </c>
      <c r="I568" t="n">
        <v>0.0291438918436276</v>
      </c>
      <c r="J568" t="n">
        <v>0.0052475708517475</v>
      </c>
      <c r="K568" t="n">
        <v>0.7659664225347512</v>
      </c>
      <c r="L568" t="b">
        <v>0</v>
      </c>
      <c r="M568" t="b">
        <v>0</v>
      </c>
      <c r="N568" t="inlineStr">
        <is>
          <t>ref</t>
        </is>
      </c>
      <c r="O568" t="n">
        <v>-100</v>
      </c>
      <c r="P568" t="n">
        <v>0.04465</v>
      </c>
      <c r="Q568" t="n">
        <v>-100</v>
      </c>
      <c r="R568" t="n">
        <v>0.1927</v>
      </c>
      <c r="S568">
        <f>IMAGE("https://mitra.stanford.edu/kundaje/oak/projects/neuro-variants/variant_position/credible/roussos_2024/variant_figures/roussos_2024.childhood.Astrocyte/rs11039012_count_position.png",4,220,900)</f>
        <v/>
      </c>
      <c r="T568">
        <f>IMAGE("https://mitra.stanford.edu/kundaje/oak/projects/neuro-variants/variant_position/credible/roussos_2024/variant_figures/roussos_2024.childhood.Astrocyte/rs11039012_profile_position.png",4,220,900)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0.144129632</v>
      </c>
      <c r="G569" t="n">
        <v>0.0342149013352569</v>
      </c>
      <c r="H569" t="n">
        <v>0.0145310257907581</v>
      </c>
      <c r="I569" t="n">
        <v>0.3169322095920804</v>
      </c>
      <c r="J569" t="n">
        <v>0.0292970926549273</v>
      </c>
      <c r="K569" t="n">
        <v>0.5492327096536481</v>
      </c>
      <c r="L569" t="b">
        <v>0</v>
      </c>
      <c r="M569" t="b">
        <v>0</v>
      </c>
      <c r="N569" t="inlineStr">
        <is>
          <t>alt</t>
        </is>
      </c>
      <c r="O569" t="n">
        <v>100</v>
      </c>
      <c r="P569" t="n">
        <v>0.00448</v>
      </c>
      <c r="Q569" t="n">
        <v>10</v>
      </c>
      <c r="R569" t="n">
        <v>0.06665</v>
      </c>
      <c r="S569">
        <f>IMAGE("https://mitra.stanford.edu/kundaje/oak/projects/neuro-variants/variant_position/credible/roussos_2024/variant_figures/roussos_2024.childhood.Astrocyte/rs12273360_count_position.png",4,220,900)</f>
        <v/>
      </c>
      <c r="T569">
        <f>IMAGE("https://mitra.stanford.edu/kundaje/oak/projects/neuro-variants/variant_position/credible/roussos_2024/variant_figures/roussos_2024.childhood.Astrocyte/rs12273360_profile_position.png",4,220,900)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0.0171215482</v>
      </c>
      <c r="G570" t="n">
        <v>0.5673743751646593</v>
      </c>
      <c r="H570" t="n">
        <v>0.0195042455207992</v>
      </c>
      <c r="I570" t="n">
        <v>0.1368725565449716</v>
      </c>
      <c r="J570" t="n">
        <v>0.0065085144222328</v>
      </c>
      <c r="K570" t="n">
        <v>0.7480838088952017</v>
      </c>
      <c r="L570" t="b">
        <v>0</v>
      </c>
      <c r="M570" t="b">
        <v>0</v>
      </c>
      <c r="N570" t="inlineStr">
        <is>
          <t>alt</t>
        </is>
      </c>
      <c r="O570" t="n">
        <v>15</v>
      </c>
      <c r="P570" t="n">
        <v>0.00775</v>
      </c>
      <c r="Q570" t="n">
        <v>15</v>
      </c>
      <c r="R570" t="n">
        <v>0.04587</v>
      </c>
      <c r="S570">
        <f>IMAGE("https://mitra.stanford.edu/kundaje/oak/projects/neuro-variants/variant_position/credible/roussos_2024/variant_figures/roussos_2024.childhood.Astrocyte/rs61898529_count_position.png",4,220,900)</f>
        <v/>
      </c>
      <c r="T570">
        <f>IMAGE("https://mitra.stanford.edu/kundaje/oak/projects/neuro-variants/variant_position/credible/roussos_2024/variant_figures/roussos_2024.childhood.Astrocyte/rs61898529_profile_position.png",4,220,900)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0.0035673311199999</v>
      </c>
      <c r="G571" t="n">
        <v>0.569329581936497</v>
      </c>
      <c r="H571" t="n">
        <v>0.0128223961645089</v>
      </c>
      <c r="I571" t="n">
        <v>0.4432043326744407</v>
      </c>
      <c r="J571" t="n">
        <v>0.3822384038225214</v>
      </c>
      <c r="K571" t="n">
        <v>0.09462949716890991</v>
      </c>
      <c r="L571" t="b">
        <v>0</v>
      </c>
      <c r="M571" t="b">
        <v>0</v>
      </c>
      <c r="N571" t="inlineStr">
        <is>
          <t>alt</t>
        </is>
      </c>
      <c r="O571" t="n">
        <v>80</v>
      </c>
      <c r="P571" t="n">
        <v>0.02698</v>
      </c>
      <c r="Q571" t="n">
        <v>100</v>
      </c>
      <c r="R571" t="n">
        <v>0.275</v>
      </c>
      <c r="S571">
        <f>IMAGE("https://mitra.stanford.edu/kundaje/oak/projects/neuro-variants/variant_position/credible/roussos_2024/variant_figures/roussos_2024.childhood.Astrocyte/rs7128102_count_position.png",4,220,900)</f>
        <v/>
      </c>
      <c r="T571">
        <f>IMAGE("https://mitra.stanford.edu/kundaje/oak/projects/neuro-variants/variant_position/credible/roussos_2024/variant_figures/roussos_2024.childhood.Astrocyte/rs7128102_profile_position.png",4,220,900)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-0.0493810514</v>
      </c>
      <c r="G572" t="n">
        <v>0.2256952407572937</v>
      </c>
      <c r="H572" t="n">
        <v>0.0123581633909905</v>
      </c>
      <c r="I572" t="n">
        <v>0.4792211012020476</v>
      </c>
      <c r="J572" t="n">
        <v>0.3170112889560578</v>
      </c>
      <c r="K572" t="n">
        <v>0.1232337604410557</v>
      </c>
      <c r="L572" t="b">
        <v>0</v>
      </c>
      <c r="M572" t="b">
        <v>0</v>
      </c>
      <c r="N572" t="inlineStr">
        <is>
          <t>ref</t>
        </is>
      </c>
      <c r="O572" t="n">
        <v>15</v>
      </c>
      <c r="P572" t="n">
        <v>0.000414</v>
      </c>
      <c r="Q572" t="n">
        <v>-70</v>
      </c>
      <c r="R572" t="n">
        <v>0.2334</v>
      </c>
      <c r="S572">
        <f>IMAGE("https://mitra.stanford.edu/kundaje/oak/projects/neuro-variants/variant_position/credible/roussos_2024/variant_figures/roussos_2024.childhood.Astrocyte/rs7120113_count_position.png",4,220,900)</f>
        <v/>
      </c>
      <c r="T572">
        <f>IMAGE("https://mitra.stanford.edu/kundaje/oak/projects/neuro-variants/variant_position/credible/roussos_2024/variant_figures/roussos_2024.childhood.Astrocyte/rs7120113_profile_position.png",4,220,900)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-0.017244052178</v>
      </c>
      <c r="G573" t="n">
        <v>0.5821383311256315</v>
      </c>
      <c r="H573" t="n">
        <v>0.0514070006905722</v>
      </c>
      <c r="I573" t="n">
        <v>0.0036771203081103</v>
      </c>
      <c r="J573" t="n">
        <v>0.1047422774839137</v>
      </c>
      <c r="K573" t="n">
        <v>0.3160539576718679</v>
      </c>
      <c r="L573" t="b">
        <v>1</v>
      </c>
      <c r="M573" t="b">
        <v>1</v>
      </c>
      <c r="N573" t="inlineStr">
        <is>
          <t>ref</t>
        </is>
      </c>
      <c r="O573" t="n">
        <v>-100</v>
      </c>
      <c r="P573" t="n">
        <v>0.4773</v>
      </c>
      <c r="Q573" t="n">
        <v>-65</v>
      </c>
      <c r="R573" t="n">
        <v>0.1516</v>
      </c>
      <c r="S573">
        <f>IMAGE("https://mitra.stanford.edu/kundaje/oak/projects/neuro-variants/variant_position/credible/roussos_2024/variant_figures/roussos_2024.childhood.Astrocyte/rs118012321_count_position.png",4,220,900)</f>
        <v/>
      </c>
      <c r="T573">
        <f>IMAGE("https://mitra.stanford.edu/kundaje/oak/projects/neuro-variants/variant_position/credible/roussos_2024/variant_figures/roussos_2024.childhood.Astrocyte/rs118012321_profile_position.png",4,220,900)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-0.22555626</v>
      </c>
      <c r="G574" t="n">
        <v>0.0122125396787509</v>
      </c>
      <c r="H574" t="n">
        <v>0.02861929757655</v>
      </c>
      <c r="I574" t="n">
        <v>0.0373350948047228</v>
      </c>
      <c r="J574" t="n">
        <v>0.1556357002740185</v>
      </c>
      <c r="K574" t="n">
        <v>0.2538160530654622</v>
      </c>
      <c r="L574" t="b">
        <v>1</v>
      </c>
      <c r="M574" t="b">
        <v>0</v>
      </c>
      <c r="N574" t="inlineStr">
        <is>
          <t>ref</t>
        </is>
      </c>
      <c r="O574" t="n">
        <v>-85</v>
      </c>
      <c r="P574" t="n">
        <v>0.005867</v>
      </c>
      <c r="Q574" t="n">
        <v>45</v>
      </c>
      <c r="R574" t="n">
        <v>0.07324</v>
      </c>
      <c r="S574">
        <f>IMAGE("https://mitra.stanford.edu/kundaje/oak/projects/neuro-variants/variant_position/credible/roussos_2024/variant_figures/roussos_2024.childhood.Astrocyte/rs10838660_count_position.png",4,220,900)</f>
        <v/>
      </c>
      <c r="T574">
        <f>IMAGE("https://mitra.stanford.edu/kundaje/oak/projects/neuro-variants/variant_position/credible/roussos_2024/variant_figures/roussos_2024.childhood.Astrocyte/rs10838660_profile_position.png",4,220,900)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0.1851445772</v>
      </c>
      <c r="G575" t="n">
        <v>0.0223124555449039</v>
      </c>
      <c r="H575" t="n">
        <v>0.0314499152955216</v>
      </c>
      <c r="I575" t="n">
        <v>0.0268170359139754</v>
      </c>
      <c r="J575" t="n">
        <v>0.0124338806072679</v>
      </c>
      <c r="K575" t="n">
        <v>0.6661649258324491</v>
      </c>
      <c r="L575" t="b">
        <v>0</v>
      </c>
      <c r="M575" t="b">
        <v>0</v>
      </c>
      <c r="N575" t="inlineStr">
        <is>
          <t>alt</t>
        </is>
      </c>
      <c r="O575" t="n">
        <v>-70</v>
      </c>
      <c r="P575" t="n">
        <v>0.00842</v>
      </c>
      <c r="Q575" t="n">
        <v>-75</v>
      </c>
      <c r="R575" t="n">
        <v>0.2498</v>
      </c>
      <c r="S575">
        <f>IMAGE("https://mitra.stanford.edu/kundaje/oak/projects/neuro-variants/variant_position/credible/roussos_2024/variant_figures/roussos_2024.childhood.Astrocyte/rs7121418_count_position.png",4,220,900)</f>
        <v/>
      </c>
      <c r="T575">
        <f>IMAGE("https://mitra.stanford.edu/kundaje/oak/projects/neuro-variants/variant_position/credible/roussos_2024/variant_figures/roussos_2024.childhood.Astrocyte/rs7121418_profile_position.png",4,220,900)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0.169197858</v>
      </c>
      <c r="G576" t="n">
        <v>0.0254828674947127</v>
      </c>
      <c r="H576" t="n">
        <v>0.032874582343216</v>
      </c>
      <c r="I576" t="n">
        <v>0.0207615307736062</v>
      </c>
      <c r="J576" t="n">
        <v>0.08867669620572</v>
      </c>
      <c r="K576" t="n">
        <v>0.3475803726934431</v>
      </c>
      <c r="L576" t="b">
        <v>0</v>
      </c>
      <c r="M576" t="b">
        <v>0</v>
      </c>
      <c r="N576" t="inlineStr">
        <is>
          <t>alt</t>
        </is>
      </c>
      <c r="O576" t="n">
        <v>100</v>
      </c>
      <c r="P576" t="n">
        <v>0.1495</v>
      </c>
      <c r="Q576" t="n">
        <v>-55</v>
      </c>
      <c r="R576" t="n">
        <v>0.1396</v>
      </c>
      <c r="S576">
        <f>IMAGE("https://mitra.stanford.edu/kundaje/oak/projects/neuro-variants/variant_position/credible/roussos_2024/variant_figures/roussos_2024.childhood.Astrocyte/rs1631684_count_position.png",4,220,900)</f>
        <v/>
      </c>
      <c r="T576">
        <f>IMAGE("https://mitra.stanford.edu/kundaje/oak/projects/neuro-variants/variant_position/credible/roussos_2024/variant_figures/roussos_2024.childhood.Astrocyte/rs1631684_profile_position.png",4,220,900)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0.001672173</v>
      </c>
      <c r="G577" t="n">
        <v>0.7133266801138384</v>
      </c>
      <c r="H577" t="n">
        <v>0.0122990841380909</v>
      </c>
      <c r="I577" t="n">
        <v>0.4816230739450629</v>
      </c>
      <c r="J577" t="n">
        <v>0.3307282483417676</v>
      </c>
      <c r="K577" t="n">
        <v>0.1170574878021254</v>
      </c>
      <c r="L577" t="b">
        <v>0</v>
      </c>
      <c r="M577" t="b">
        <v>0</v>
      </c>
      <c r="N577" t="inlineStr">
        <is>
          <t>alt</t>
        </is>
      </c>
      <c r="O577" t="n">
        <v>65</v>
      </c>
      <c r="P577" t="n">
        <v>0.01718</v>
      </c>
      <c r="Q577" t="n">
        <v>90</v>
      </c>
      <c r="R577" t="n">
        <v>0.1826</v>
      </c>
      <c r="S577">
        <f>IMAGE("https://mitra.stanford.edu/kundaje/oak/projects/neuro-variants/variant_position/credible/roussos_2024/variant_figures/roussos_2024.childhood.Astrocyte/rs499188_count_position.png",4,220,900)</f>
        <v/>
      </c>
      <c r="T577">
        <f>IMAGE("https://mitra.stanford.edu/kundaje/oak/projects/neuro-variants/variant_position/credible/roussos_2024/variant_figures/roussos_2024.childhood.Astrocyte/rs499188_profile_position.png",4,220,900)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-0.0394145376</v>
      </c>
      <c r="G578" t="n">
        <v>0.3109584445328855</v>
      </c>
      <c r="H578" t="n">
        <v>0.0142503558571967</v>
      </c>
      <c r="I578" t="n">
        <v>0.3410746760593965</v>
      </c>
      <c r="J578" t="n">
        <v>0.8321372688206512</v>
      </c>
      <c r="K578" t="n">
        <v>0.0057042586705737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0.0594</v>
      </c>
      <c r="Q578" t="n">
        <v>100</v>
      </c>
      <c r="R578" t="n">
        <v>0.3188</v>
      </c>
      <c r="S578">
        <f>IMAGE("https://mitra.stanford.edu/kundaje/oak/projects/neuro-variants/variant_position/credible/roussos_2024/variant_figures/roussos_2024.childhood.Astrocyte/rs12146541_count_position.png",4,220,900)</f>
        <v/>
      </c>
      <c r="T578">
        <f>IMAGE("https://mitra.stanford.edu/kundaje/oak/projects/neuro-variants/variant_position/credible/roussos_2024/variant_figures/roussos_2024.childhood.Astrocyte/rs12146541_profile_position.png",4,220,900)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-0.1356897768</v>
      </c>
      <c r="G579" t="n">
        <v>0.0777173031268253</v>
      </c>
      <c r="H579" t="n">
        <v>0.0221710303737178</v>
      </c>
      <c r="I579" t="n">
        <v>0.0888350426498366</v>
      </c>
      <c r="J579" t="n">
        <v>0.7116461725172311</v>
      </c>
      <c r="K579" t="n">
        <v>0.0170289719678483</v>
      </c>
      <c r="L579" t="b">
        <v>0</v>
      </c>
      <c r="M579" t="b">
        <v>0</v>
      </c>
      <c r="N579" t="inlineStr">
        <is>
          <t>ref</t>
        </is>
      </c>
      <c r="O579" t="n">
        <v>-65</v>
      </c>
      <c r="P579" t="n">
        <v>0.005768</v>
      </c>
      <c r="Q579" t="n">
        <v>-35</v>
      </c>
      <c r="R579" t="n">
        <v>0.0801</v>
      </c>
      <c r="S579">
        <f>IMAGE("https://mitra.stanford.edu/kundaje/oak/projects/neuro-variants/variant_position/credible/roussos_2024/variant_figures/roussos_2024.childhood.Astrocyte/rs35808061_count_position.png",4,220,900)</f>
        <v/>
      </c>
      <c r="T579">
        <f>IMAGE("https://mitra.stanford.edu/kundaje/oak/projects/neuro-variants/variant_position/credible/roussos_2024/variant_figures/roussos_2024.childhood.Astrocyte/rs35808061_profile_position.png",4,220,900)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0.0554333098</v>
      </c>
      <c r="G580" t="n">
        <v>0.183089631422435</v>
      </c>
      <c r="H580" t="n">
        <v>0.0101228098587719</v>
      </c>
      <c r="I580" t="n">
        <v>0.7016333959068904</v>
      </c>
      <c r="J580" t="n">
        <v>0.07110439422042079</v>
      </c>
      <c r="K580" t="n">
        <v>0.3915473291053377</v>
      </c>
      <c r="L580" t="b">
        <v>0</v>
      </c>
      <c r="M580" t="b">
        <v>0</v>
      </c>
      <c r="N580" t="inlineStr">
        <is>
          <t>alt</t>
        </is>
      </c>
      <c r="O580" t="n">
        <v>-100</v>
      </c>
      <c r="P580" t="n">
        <v>0.00747</v>
      </c>
      <c r="Q580" t="n">
        <v>85</v>
      </c>
      <c r="R580" t="n">
        <v>0.05777</v>
      </c>
      <c r="S580">
        <f>IMAGE("https://mitra.stanford.edu/kundaje/oak/projects/neuro-variants/variant_position/credible/roussos_2024/variant_figures/roussos_2024.childhood.Astrocyte/rs11570181_count_position.png",4,220,900)</f>
        <v/>
      </c>
      <c r="T580">
        <f>IMAGE("https://mitra.stanford.edu/kundaje/oak/projects/neuro-variants/variant_position/credible/roussos_2024/variant_figures/roussos_2024.childhood.Astrocyte/rs11570181_profile_position.png",4,220,900)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-0.024444536</v>
      </c>
      <c r="G581" t="n">
        <v>0.4651848307258163</v>
      </c>
      <c r="H581" t="n">
        <v>0.0543639833550039</v>
      </c>
      <c r="I581" t="n">
        <v>0.0029823161739597</v>
      </c>
      <c r="J581" t="n">
        <v>0.0295642417164708</v>
      </c>
      <c r="K581" t="n">
        <v>0.5422131482949639</v>
      </c>
      <c r="L581" t="b">
        <v>1</v>
      </c>
      <c r="M581" t="b">
        <v>0</v>
      </c>
      <c r="N581" t="inlineStr">
        <is>
          <t>ref</t>
        </is>
      </c>
      <c r="O581" t="n">
        <v>-50</v>
      </c>
      <c r="P581" t="n">
        <v>0.006348</v>
      </c>
      <c r="Q581" t="n">
        <v>40</v>
      </c>
      <c r="R581" t="n">
        <v>0.0548</v>
      </c>
      <c r="S581">
        <f>IMAGE("https://mitra.stanford.edu/kundaje/oak/projects/neuro-variants/variant_position/credible/roussos_2024/variant_figures/roussos_2024.childhood.Astrocyte/rs1268667_count_position.png",4,220,900)</f>
        <v/>
      </c>
      <c r="T581">
        <f>IMAGE("https://mitra.stanford.edu/kundaje/oak/projects/neuro-variants/variant_position/credible/roussos_2024/variant_figures/roussos_2024.childhood.Astrocyte/rs1268667_profile_position.png",4,220,900)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-0.1198566852</v>
      </c>
      <c r="G582" t="n">
        <v>0.0585978627237129</v>
      </c>
      <c r="H582" t="n">
        <v>0.0318548305228226</v>
      </c>
      <c r="I582" t="n">
        <v>0.0260446351689011</v>
      </c>
      <c r="J582" t="n">
        <v>0.5424904398800119</v>
      </c>
      <c r="K582" t="n">
        <v>0.0454270672781184</v>
      </c>
      <c r="L582" t="b">
        <v>0</v>
      </c>
      <c r="M582" t="b">
        <v>0</v>
      </c>
      <c r="N582" t="inlineStr">
        <is>
          <t>ref</t>
        </is>
      </c>
      <c r="O582" t="n">
        <v>-85</v>
      </c>
      <c r="P582" t="n">
        <v>0.005524</v>
      </c>
      <c r="Q582" t="n">
        <v>-85</v>
      </c>
      <c r="R582" t="n">
        <v>0.1707</v>
      </c>
      <c r="S582">
        <f>IMAGE("https://mitra.stanford.edu/kundaje/oak/projects/neuro-variants/variant_position/credible/roussos_2024/variant_figures/roussos_2024.childhood.Astrocyte/rs4980505_count_position.png",4,220,900)</f>
        <v/>
      </c>
      <c r="T582">
        <f>IMAGE("https://mitra.stanford.edu/kundaje/oak/projects/neuro-variants/variant_position/credible/roussos_2024/variant_figures/roussos_2024.childhood.Astrocyte/rs4980505_profile_position.png",4,220,900)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-0.0879891372</v>
      </c>
      <c r="G583" t="n">
        <v>0.1083079892619075</v>
      </c>
      <c r="H583" t="n">
        <v>0.015075329115025</v>
      </c>
      <c r="I583" t="n">
        <v>0.2930873818450309</v>
      </c>
      <c r="J583" t="n">
        <v>0.9007411478250252</v>
      </c>
      <c r="K583" t="n">
        <v>0.0012278473486881</v>
      </c>
      <c r="L583" t="b">
        <v>0</v>
      </c>
      <c r="M583" t="b">
        <v>0</v>
      </c>
      <c r="N583" t="inlineStr">
        <is>
          <t>ref</t>
        </is>
      </c>
      <c r="O583" t="n">
        <v>-100</v>
      </c>
      <c r="P583" t="n">
        <v>0.03574</v>
      </c>
      <c r="Q583" t="n">
        <v>10</v>
      </c>
      <c r="R583" t="n">
        <v>0.08790000000000001</v>
      </c>
      <c r="S583">
        <f>IMAGE("https://mitra.stanford.edu/kundaje/oak/projects/neuro-variants/variant_position/credible/roussos_2024/variant_figures/roussos_2024.childhood.Astrocyte/rs2014328_count_position.png",4,220,900)</f>
        <v/>
      </c>
      <c r="T583">
        <f>IMAGE("https://mitra.stanford.edu/kundaje/oak/projects/neuro-variants/variant_position/credible/roussos_2024/variant_figures/roussos_2024.childhood.Astrocyte/rs2014328_profile_position.png",4,220,900)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-0.253058708</v>
      </c>
      <c r="G584" t="n">
        <v>0.0104140068982328</v>
      </c>
      <c r="H584" t="n">
        <v>0.0269298534245767</v>
      </c>
      <c r="I584" t="n">
        <v>0.0532831745335915</v>
      </c>
      <c r="J584" t="n">
        <v>0.5390106325326494</v>
      </c>
      <c r="K584" t="n">
        <v>0.0435450847266441</v>
      </c>
      <c r="L584" t="b">
        <v>1</v>
      </c>
      <c r="M584" t="b">
        <v>0</v>
      </c>
      <c r="N584" t="inlineStr">
        <is>
          <t>ref</t>
        </is>
      </c>
      <c r="O584" t="n">
        <v>45</v>
      </c>
      <c r="P584" t="n">
        <v>0.003769</v>
      </c>
      <c r="Q584" t="n">
        <v>-45</v>
      </c>
      <c r="R584" t="n">
        <v>0.03577</v>
      </c>
      <c r="S584">
        <f>IMAGE("https://mitra.stanford.edu/kundaje/oak/projects/neuro-variants/variant_position/credible/roussos_2024/variant_figures/roussos_2024.childhood.Astrocyte/rs478294_count_position.png",4,220,900)</f>
        <v/>
      </c>
      <c r="T584">
        <f>IMAGE("https://mitra.stanford.edu/kundaje/oak/projects/neuro-variants/variant_position/credible/roussos_2024/variant_figures/roussos_2024.childhood.Astrocyte/rs478294_profile_position.png",4,220,900)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-0.270428958</v>
      </c>
      <c r="G585" t="n">
        <v>0.007853525029855301</v>
      </c>
      <c r="H585" t="n">
        <v>0.0461813112362812</v>
      </c>
      <c r="I585" t="n">
        <v>0.005695397615494</v>
      </c>
      <c r="J585" t="n">
        <v>0.5134269118331769</v>
      </c>
      <c r="K585" t="n">
        <v>0.0521637401487711</v>
      </c>
      <c r="L585" t="b">
        <v>1</v>
      </c>
      <c r="M585" t="b">
        <v>1</v>
      </c>
      <c r="N585" t="inlineStr">
        <is>
          <t>ref</t>
        </is>
      </c>
      <c r="O585" t="n">
        <v>-20</v>
      </c>
      <c r="P585" t="n">
        <v>0.002926</v>
      </c>
      <c r="Q585" t="n">
        <v>-40</v>
      </c>
      <c r="R585" t="n">
        <v>0.009766</v>
      </c>
      <c r="S585">
        <f>IMAGE("https://mitra.stanford.edu/kundaje/oak/projects/neuro-variants/variant_position/credible/roussos_2024/variant_figures/roussos_2024.childhood.Astrocyte/rs540741_count_position.png",4,220,900)</f>
        <v/>
      </c>
      <c r="T585">
        <f>IMAGE("https://mitra.stanford.edu/kundaje/oak/projects/neuro-variants/variant_position/credible/roussos_2024/variant_figures/roussos_2024.childhood.Astrocyte/rs540741_profile_position.png",4,220,900)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0.1283493588</v>
      </c>
      <c r="G586" t="n">
        <v>0.0432074715274023</v>
      </c>
      <c r="H586" t="n">
        <v>0.0263400222724984</v>
      </c>
      <c r="I586" t="n">
        <v>0.0493696809496285</v>
      </c>
      <c r="J586" t="n">
        <v>0.5746216024363995</v>
      </c>
      <c r="K586" t="n">
        <v>0.038259967963556</v>
      </c>
      <c r="L586" t="b">
        <v>0</v>
      </c>
      <c r="M586" t="b">
        <v>0</v>
      </c>
      <c r="N586" t="inlineStr">
        <is>
          <t>alt</t>
        </is>
      </c>
      <c r="O586" t="n">
        <v>100</v>
      </c>
      <c r="P586" t="n">
        <v>0.008880000000000001</v>
      </c>
      <c r="Q586" t="n">
        <v>-90</v>
      </c>
      <c r="R586" t="n">
        <v>0.2107</v>
      </c>
      <c r="S586">
        <f>IMAGE("https://mitra.stanford.edu/kundaje/oak/projects/neuro-variants/variant_position/credible/roussos_2024/variant_figures/roussos_2024.childhood.Astrocyte/rs562664_count_position.png",4,220,900)</f>
        <v/>
      </c>
      <c r="T586">
        <f>IMAGE("https://mitra.stanford.edu/kundaje/oak/projects/neuro-variants/variant_position/credible/roussos_2024/variant_figures/roussos_2024.childhood.Astrocyte/rs562664_profile_position.png",4,220,900)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0.0532076338</v>
      </c>
      <c r="G587" t="n">
        <v>0.2012968709637027</v>
      </c>
      <c r="H587" t="n">
        <v>0.008236881870146</v>
      </c>
      <c r="I587" t="n">
        <v>0.862204522486781</v>
      </c>
      <c r="J587" t="n">
        <v>0.0586766198774166</v>
      </c>
      <c r="K587" t="n">
        <v>0.433318879029929</v>
      </c>
      <c r="L587" t="b">
        <v>0</v>
      </c>
      <c r="M587" t="b">
        <v>0</v>
      </c>
      <c r="N587" t="inlineStr">
        <is>
          <t>alt</t>
        </is>
      </c>
      <c r="O587" t="n">
        <v>35</v>
      </c>
      <c r="P587" t="n">
        <v>0.01869</v>
      </c>
      <c r="Q587" t="n">
        <v>-85</v>
      </c>
      <c r="R587" t="n">
        <v>0.2383</v>
      </c>
      <c r="S587">
        <f>IMAGE("https://mitra.stanford.edu/kundaje/oak/projects/neuro-variants/variant_position/credible/roussos_2024/variant_figures/roussos_2024.childhood.Astrocyte/rs4930355_count_position.png",4,220,900)</f>
        <v/>
      </c>
      <c r="T587">
        <f>IMAGE("https://mitra.stanford.edu/kundaje/oak/projects/neuro-variants/variant_position/credible/roussos_2024/variant_figures/roussos_2024.childhood.Astrocyte/rs4930355_profile_position.png",4,220,900)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-0.0231313895</v>
      </c>
      <c r="G588" t="n">
        <v>0.4717672440592761</v>
      </c>
      <c r="H588" t="n">
        <v>0.0313105487018515</v>
      </c>
      <c r="I588" t="n">
        <v>0.025052271766591</v>
      </c>
      <c r="J588" t="n">
        <v>0.0136765053849617</v>
      </c>
      <c r="K588" t="n">
        <v>0.6632895234376899</v>
      </c>
      <c r="L588" t="b">
        <v>0</v>
      </c>
      <c r="M588" t="b">
        <v>0</v>
      </c>
      <c r="N588" t="inlineStr">
        <is>
          <t>ref</t>
        </is>
      </c>
      <c r="O588" t="n">
        <v>-85</v>
      </c>
      <c r="P588" t="n">
        <v>0.01196</v>
      </c>
      <c r="Q588" t="n">
        <v>-85</v>
      </c>
      <c r="R588" t="n">
        <v>0.1482</v>
      </c>
      <c r="S588">
        <f>IMAGE("https://mitra.stanford.edu/kundaje/oak/projects/neuro-variants/variant_position/credible/roussos_2024/variant_figures/roussos_2024.childhood.Astrocyte/rs11227649_count_position.png",4,220,900)</f>
        <v/>
      </c>
      <c r="T588">
        <f>IMAGE("https://mitra.stanford.edu/kundaje/oak/projects/neuro-variants/variant_position/credible/roussos_2024/variant_figures/roussos_2024.childhood.Astrocyte/rs11227649_profile_position.png",4,220,900)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-0.204810418</v>
      </c>
      <c r="G589" t="n">
        <v>0.0160051015783494</v>
      </c>
      <c r="H589" t="n">
        <v>0.0252556246514678</v>
      </c>
      <c r="I589" t="n">
        <v>0.0636667602702836</v>
      </c>
      <c r="J589" t="n">
        <v>0.06894277667101729</v>
      </c>
      <c r="K589" t="n">
        <v>0.3994946674981954</v>
      </c>
      <c r="L589" t="b">
        <v>1</v>
      </c>
      <c r="M589" t="b">
        <v>0</v>
      </c>
      <c r="N589" t="inlineStr">
        <is>
          <t>ref</t>
        </is>
      </c>
      <c r="O589" t="n">
        <v>-100</v>
      </c>
      <c r="P589" t="n">
        <v>0.006996</v>
      </c>
      <c r="Q589" t="n">
        <v>-55</v>
      </c>
      <c r="R589" t="n">
        <v>0.09406</v>
      </c>
      <c r="S589">
        <f>IMAGE("https://mitra.stanford.edu/kundaje/oak/projects/neuro-variants/variant_position/credible/roussos_2024/variant_figures/roussos_2024.childhood.Astrocyte/rs1253435_count_position.png",4,220,900)</f>
        <v/>
      </c>
      <c r="T589">
        <f>IMAGE("https://mitra.stanford.edu/kundaje/oak/projects/neuro-variants/variant_position/credible/roussos_2024/variant_figures/roussos_2024.childhood.Astrocyte/rs1253435_profile_position.png",4,220,900)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-0.146168937</v>
      </c>
      <c r="G590" t="n">
        <v>0.0350793794823028</v>
      </c>
      <c r="H590" t="n">
        <v>0.0251219560295822</v>
      </c>
      <c r="I590" t="n">
        <v>0.0627182753820837</v>
      </c>
      <c r="J590" t="n">
        <v>0.1667345988566019</v>
      </c>
      <c r="K590" t="n">
        <v>0.2389108051976089</v>
      </c>
      <c r="L590" t="b">
        <v>0</v>
      </c>
      <c r="M590" t="b">
        <v>0</v>
      </c>
      <c r="N590" t="inlineStr">
        <is>
          <t>ref</t>
        </is>
      </c>
      <c r="O590" t="n">
        <v>-5</v>
      </c>
      <c r="P590" t="n">
        <v>0.00451</v>
      </c>
      <c r="Q590" t="n">
        <v>5</v>
      </c>
      <c r="R590" t="n">
        <v>0.0246</v>
      </c>
      <c r="S590">
        <f>IMAGE("https://mitra.stanford.edu/kundaje/oak/projects/neuro-variants/variant_position/credible/roussos_2024/variant_figures/roussos_2024.childhood.Astrocyte/rs112437913_count_position.png",4,220,900)</f>
        <v/>
      </c>
      <c r="T590">
        <f>IMAGE("https://mitra.stanford.edu/kundaje/oak/projects/neuro-variants/variant_position/credible/roussos_2024/variant_figures/roussos_2024.childhood.Astrocyte/rs112437913_profile_position.png",4,220,900)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0.1385802039999999</v>
      </c>
      <c r="G591" t="n">
        <v>0.0385265419046423</v>
      </c>
      <c r="H591" t="n">
        <v>0.0164843326109049</v>
      </c>
      <c r="I591" t="n">
        <v>0.2265320381768572</v>
      </c>
      <c r="J591" t="n">
        <v>0.0613168158884995</v>
      </c>
      <c r="K591" t="n">
        <v>0.4190064774077771</v>
      </c>
      <c r="L591" t="b">
        <v>0</v>
      </c>
      <c r="M591" t="b">
        <v>0</v>
      </c>
      <c r="N591" t="inlineStr">
        <is>
          <t>alt</t>
        </is>
      </c>
      <c r="O591" t="n">
        <v>100</v>
      </c>
      <c r="P591" t="n">
        <v>0.05154</v>
      </c>
      <c r="Q591" t="n">
        <v>100</v>
      </c>
      <c r="R591" t="n">
        <v>0.3904</v>
      </c>
      <c r="S591">
        <f>IMAGE("https://mitra.stanford.edu/kundaje/oak/projects/neuro-variants/variant_position/credible/roussos_2024/variant_figures/roussos_2024.childhood.Astrocyte/rs1893846_count_position.png",4,220,900)</f>
        <v/>
      </c>
      <c r="T591">
        <f>IMAGE("https://mitra.stanford.edu/kundaje/oak/projects/neuro-variants/variant_position/credible/roussos_2024/variant_figures/roussos_2024.childhood.Astrocyte/rs1893846_profile_position.png",4,220,900)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0.0189442160248</v>
      </c>
      <c r="G592" t="n">
        <v>0.5365679906491572</v>
      </c>
      <c r="H592" t="n">
        <v>0.0276224581071287</v>
      </c>
      <c r="I592" t="n">
        <v>0.0430326717355723</v>
      </c>
      <c r="J592" t="n">
        <v>0.0225336416996785</v>
      </c>
      <c r="K592" t="n">
        <v>0.5740482686205465</v>
      </c>
      <c r="L592" t="b">
        <v>0</v>
      </c>
      <c r="M592" t="b">
        <v>0</v>
      </c>
      <c r="N592" t="inlineStr">
        <is>
          <t>alt</t>
        </is>
      </c>
      <c r="O592" t="n">
        <v>55</v>
      </c>
      <c r="P592" t="n">
        <v>0.007126</v>
      </c>
      <c r="Q592" t="n">
        <v>100</v>
      </c>
      <c r="R592" t="n">
        <v>0.1868</v>
      </c>
      <c r="S592">
        <f>IMAGE("https://mitra.stanford.edu/kundaje/oak/projects/neuro-variants/variant_position/credible/roussos_2024/variant_figures/roussos_2024.childhood.Astrocyte/rs2457246_count_position.png",4,220,900)</f>
        <v/>
      </c>
      <c r="T592">
        <f>IMAGE("https://mitra.stanford.edu/kundaje/oak/projects/neuro-variants/variant_position/credible/roussos_2024/variant_figures/roussos_2024.childhood.Astrocyte/rs2457246_profile_position.png",4,220,900)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-0.0138556109799999</v>
      </c>
      <c r="G593" t="n">
        <v>0.3463823237630995</v>
      </c>
      <c r="H593" t="n">
        <v>0.0116759959396431</v>
      </c>
      <c r="I593" t="n">
        <v>0.5183782597918059</v>
      </c>
      <c r="J593" t="n">
        <v>0.1101707464144779</v>
      </c>
      <c r="K593" t="n">
        <v>0.3083822985907961</v>
      </c>
      <c r="L593" t="b">
        <v>0</v>
      </c>
      <c r="M593" t="b">
        <v>0</v>
      </c>
      <c r="N593" t="inlineStr">
        <is>
          <t>ref</t>
        </is>
      </c>
      <c r="O593" t="n">
        <v>-100</v>
      </c>
      <c r="P593" t="n">
        <v>0.00646</v>
      </c>
      <c r="Q593" t="n">
        <v>95</v>
      </c>
      <c r="R593" t="n">
        <v>0.1775</v>
      </c>
      <c r="S593">
        <f>IMAGE("https://mitra.stanford.edu/kundaje/oak/projects/neuro-variants/variant_position/credible/roussos_2024/variant_figures/roussos_2024.childhood.Astrocyte/rs591699_count_position.png",4,220,900)</f>
        <v/>
      </c>
      <c r="T593">
        <f>IMAGE("https://mitra.stanford.edu/kundaje/oak/projects/neuro-variants/variant_position/credible/roussos_2024/variant_figures/roussos_2024.childhood.Astrocyte/rs591699_profile_position.png",4,220,900)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0.160650969</v>
      </c>
      <c r="G594" t="n">
        <v>0.0283742367875553</v>
      </c>
      <c r="H594" t="n">
        <v>0.0204346748482283</v>
      </c>
      <c r="I594" t="n">
        <v>0.1156590438660304</v>
      </c>
      <c r="J594" t="n">
        <v>0.0194530313785654</v>
      </c>
      <c r="K594" t="n">
        <v>0.6709028766210678</v>
      </c>
      <c r="L594" t="b">
        <v>0</v>
      </c>
      <c r="M594" t="b">
        <v>0</v>
      </c>
      <c r="N594" t="inlineStr">
        <is>
          <t>alt</t>
        </is>
      </c>
      <c r="O594" t="n">
        <v>90</v>
      </c>
      <c r="P594" t="n">
        <v>0.00362</v>
      </c>
      <c r="Q594" t="n">
        <v>100</v>
      </c>
      <c r="R594" t="n">
        <v>0.1449</v>
      </c>
      <c r="S594">
        <f>IMAGE("https://mitra.stanford.edu/kundaje/oak/projects/neuro-variants/variant_position/credible/roussos_2024/variant_figures/roussos_2024.childhood.Astrocyte/rs12789884_count_position.png",4,220,900)</f>
        <v/>
      </c>
      <c r="T594">
        <f>IMAGE("https://mitra.stanford.edu/kundaje/oak/projects/neuro-variants/variant_position/credible/roussos_2024/variant_figures/roussos_2024.childhood.Astrocyte/rs12789884_profile_position.png",4,220,900)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0.0513731908</v>
      </c>
      <c r="G595" t="n">
        <v>0.2064970991311644</v>
      </c>
      <c r="H595" t="n">
        <v>0.0147591252398998</v>
      </c>
      <c r="I595" t="n">
        <v>0.3137583252910876</v>
      </c>
      <c r="J595" t="n">
        <v>0.011730133650859</v>
      </c>
      <c r="K595" t="n">
        <v>0.6664104655726604</v>
      </c>
      <c r="L595" t="b">
        <v>0</v>
      </c>
      <c r="M595" t="b">
        <v>0</v>
      </c>
      <c r="N595" t="inlineStr">
        <is>
          <t>alt</t>
        </is>
      </c>
      <c r="O595" t="n">
        <v>85</v>
      </c>
      <c r="P595" t="n">
        <v>0.00856</v>
      </c>
      <c r="Q595" t="n">
        <v>-95</v>
      </c>
      <c r="R595" t="n">
        <v>0.06555</v>
      </c>
      <c r="S595">
        <f>IMAGE("https://mitra.stanford.edu/kundaje/oak/projects/neuro-variants/variant_position/credible/roussos_2024/variant_figures/roussos_2024.childhood.Astrocyte/rs71464734_count_position.png",4,220,900)</f>
        <v/>
      </c>
      <c r="T595">
        <f>IMAGE("https://mitra.stanford.edu/kundaje/oak/projects/neuro-variants/variant_position/credible/roussos_2024/variant_figures/roussos_2024.childhood.Astrocyte/rs71464734_profile_position.png",4,220,900)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0.0128986932</v>
      </c>
      <c r="G596" t="n">
        <v>0.4865388742388165</v>
      </c>
      <c r="H596" t="n">
        <v>0.0202446677570307</v>
      </c>
      <c r="I596" t="n">
        <v>0.1226331662891424</v>
      </c>
      <c r="J596" t="n">
        <v>0.0021303229450511</v>
      </c>
      <c r="K596" t="n">
        <v>0.8701290712741325</v>
      </c>
      <c r="L596" t="b">
        <v>0</v>
      </c>
      <c r="M596" t="b">
        <v>0</v>
      </c>
      <c r="N596" t="inlineStr">
        <is>
          <t>alt</t>
        </is>
      </c>
      <c r="O596" t="n">
        <v>100</v>
      </c>
      <c r="P596" t="n">
        <v>0.001228</v>
      </c>
      <c r="Q596" t="n">
        <v>100</v>
      </c>
      <c r="R596" t="n">
        <v>0.1245</v>
      </c>
      <c r="S596">
        <f>IMAGE("https://mitra.stanford.edu/kundaje/oak/projects/neuro-variants/variant_position/credible/roussos_2024/variant_figures/roussos_2024.childhood.Astrocyte/rs722354_count_position.png",4,220,900)</f>
        <v/>
      </c>
      <c r="T596">
        <f>IMAGE("https://mitra.stanford.edu/kundaje/oak/projects/neuro-variants/variant_position/credible/roussos_2024/variant_figures/roussos_2024.childhood.Astrocyte/rs722354_profile_position.png",4,220,900)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-0.1069322499999999</v>
      </c>
      <c r="G597" t="n">
        <v>0.0628129322970481</v>
      </c>
      <c r="H597" t="n">
        <v>0.0103372836760386</v>
      </c>
      <c r="I597" t="n">
        <v>0.6867530546251598</v>
      </c>
      <c r="J597" t="n">
        <v>0.0175455870791447</v>
      </c>
      <c r="K597" t="n">
        <v>0.6121583459799165</v>
      </c>
      <c r="L597" t="b">
        <v>0</v>
      </c>
      <c r="M597" t="b">
        <v>0</v>
      </c>
      <c r="N597" t="inlineStr">
        <is>
          <t>ref</t>
        </is>
      </c>
      <c r="O597" t="n">
        <v>65</v>
      </c>
      <c r="P597" t="n">
        <v>0.009605000000000001</v>
      </c>
      <c r="Q597" t="n">
        <v>75</v>
      </c>
      <c r="R597" t="n">
        <v>0.0941</v>
      </c>
      <c r="S597">
        <f>IMAGE("https://mitra.stanford.edu/kundaje/oak/projects/neuro-variants/variant_position/credible/roussos_2024/variant_figures/roussos_2024.childhood.Astrocyte/rs34793132_count_position.png",4,220,900)</f>
        <v/>
      </c>
      <c r="T597">
        <f>IMAGE("https://mitra.stanford.edu/kundaje/oak/projects/neuro-variants/variant_position/credible/roussos_2024/variant_figures/roussos_2024.childhood.Astrocyte/rs34793132_profile_position.png",4,220,900)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0.0468784614</v>
      </c>
      <c r="G598" t="n">
        <v>0.2275272278320778</v>
      </c>
      <c r="H598" t="n">
        <v>0.0121020449299023</v>
      </c>
      <c r="I598" t="n">
        <v>0.5030296296059164</v>
      </c>
      <c r="J598" t="n">
        <v>0.0024959355178493</v>
      </c>
      <c r="K598" t="n">
        <v>0.8589014514227332</v>
      </c>
      <c r="L598" t="b">
        <v>0</v>
      </c>
      <c r="M598" t="b">
        <v>0</v>
      </c>
      <c r="N598" t="inlineStr">
        <is>
          <t>alt</t>
        </is>
      </c>
      <c r="O598" t="n">
        <v>-90</v>
      </c>
      <c r="P598" t="n">
        <v>0.02899</v>
      </c>
      <c r="Q598" t="n">
        <v>-50</v>
      </c>
      <c r="R598" t="n">
        <v>0.0722</v>
      </c>
      <c r="S598">
        <f>IMAGE("https://mitra.stanford.edu/kundaje/oak/projects/neuro-variants/variant_position/credible/roussos_2024/variant_figures/roussos_2024.childhood.Astrocyte/rs59832858_count_position.png",4,220,900)</f>
        <v/>
      </c>
      <c r="T598">
        <f>IMAGE("https://mitra.stanford.edu/kundaje/oak/projects/neuro-variants/variant_position/credible/roussos_2024/variant_figures/roussos_2024.childhood.Astrocyte/rs59832858_profile_position.png",4,220,900)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-0.272689674</v>
      </c>
      <c r="G599" t="n">
        <v>0.0077369900937495</v>
      </c>
      <c r="H599" t="n">
        <v>0.0595337641408146</v>
      </c>
      <c r="I599" t="n">
        <v>0.0031950168917931</v>
      </c>
      <c r="J599" t="n">
        <v>0.080317220428507</v>
      </c>
      <c r="K599" t="n">
        <v>0.3623791007326888</v>
      </c>
      <c r="L599" t="b">
        <v>1</v>
      </c>
      <c r="M599" t="b">
        <v>1</v>
      </c>
      <c r="N599" t="inlineStr">
        <is>
          <t>ref</t>
        </is>
      </c>
      <c r="O599" t="n">
        <v>80</v>
      </c>
      <c r="P599" t="n">
        <v>0.01639</v>
      </c>
      <c r="Q599" t="n">
        <v>65</v>
      </c>
      <c r="R599" t="n">
        <v>0.1787</v>
      </c>
      <c r="S599">
        <f>IMAGE("https://mitra.stanford.edu/kundaje/oak/projects/neuro-variants/variant_position/credible/roussos_2024/variant_figures/roussos_2024.childhood.Astrocyte/rs7927714_count_position.png",4,220,900)</f>
        <v/>
      </c>
      <c r="T599">
        <f>IMAGE("https://mitra.stanford.edu/kundaje/oak/projects/neuro-variants/variant_position/credible/roussos_2024/variant_figures/roussos_2024.childhood.Astrocyte/rs7927714_profile_position.png",4,220,900)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-0.00068742964</v>
      </c>
      <c r="G600" t="n">
        <v>0.8548449098425567</v>
      </c>
      <c r="H600" t="n">
        <v>0.0196061355433527</v>
      </c>
      <c r="I600" t="n">
        <v>0.134796629708926</v>
      </c>
      <c r="J600" t="n">
        <v>0.0480891209269308</v>
      </c>
      <c r="K600" t="n">
        <v>0.4556133242076016</v>
      </c>
      <c r="L600" t="b">
        <v>0</v>
      </c>
      <c r="M600" t="b">
        <v>0</v>
      </c>
      <c r="N600" t="inlineStr">
        <is>
          <t>ref</t>
        </is>
      </c>
      <c r="O600" t="n">
        <v>85</v>
      </c>
      <c r="P600" t="n">
        <v>0.01109</v>
      </c>
      <c r="Q600" t="n">
        <v>100</v>
      </c>
      <c r="R600" t="n">
        <v>0.1272</v>
      </c>
      <c r="S600">
        <f>IMAGE("https://mitra.stanford.edu/kundaje/oak/projects/neuro-variants/variant_position/credible/roussos_2024/variant_figures/roussos_2024.childhood.Astrocyte/rs11226433_count_position.png",4,220,900)</f>
        <v/>
      </c>
      <c r="T600">
        <f>IMAGE("https://mitra.stanford.edu/kundaje/oak/projects/neuro-variants/variant_position/credible/roussos_2024/variant_figures/roussos_2024.childhood.Astrocyte/rs11226433_profile_position.png",4,220,900)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0.09839513499999999</v>
      </c>
      <c r="G601" t="n">
        <v>0.07323305742082679</v>
      </c>
      <c r="H601" t="n">
        <v>0.0170618132161417</v>
      </c>
      <c r="I601" t="n">
        <v>0.2038034772680159</v>
      </c>
      <c r="J601" t="n">
        <v>0.1854983856563851</v>
      </c>
      <c r="K601" t="n">
        <v>0.2141922792967335</v>
      </c>
      <c r="L601" t="b">
        <v>0</v>
      </c>
      <c r="M601" t="b">
        <v>0</v>
      </c>
      <c r="N601" t="inlineStr">
        <is>
          <t>alt</t>
        </is>
      </c>
      <c r="O601" t="n">
        <v>-100</v>
      </c>
      <c r="P601" t="n">
        <v>0.04846</v>
      </c>
      <c r="Q601" t="n">
        <v>-100</v>
      </c>
      <c r="R601" t="n">
        <v>0.2212</v>
      </c>
      <c r="S601">
        <f>IMAGE("https://mitra.stanford.edu/kundaje/oak/projects/neuro-variants/variant_position/credible/roussos_2024/variant_figures/roussos_2024.childhood.Astrocyte/rs10895711_count_position.png",4,220,900)</f>
        <v/>
      </c>
      <c r="T601">
        <f>IMAGE("https://mitra.stanford.edu/kundaje/oak/projects/neuro-variants/variant_position/credible/roussos_2024/variant_figures/roussos_2024.childhood.Astrocyte/rs10895711_profile_position.png",4,220,900)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-0.0413486842</v>
      </c>
      <c r="G602" t="n">
        <v>0.2778789498020225</v>
      </c>
      <c r="H602" t="n">
        <v>0.0089718098104405</v>
      </c>
      <c r="I602" t="n">
        <v>0.8277445520208933</v>
      </c>
      <c r="J602" t="n">
        <v>0.0005938341996595</v>
      </c>
      <c r="K602" t="n">
        <v>0.9424465785590284</v>
      </c>
      <c r="L602" t="b">
        <v>0</v>
      </c>
      <c r="M602" t="b">
        <v>0</v>
      </c>
      <c r="N602" t="inlineStr">
        <is>
          <t>ref</t>
        </is>
      </c>
      <c r="O602" t="n">
        <v>-100</v>
      </c>
      <c r="P602" t="n">
        <v>0.03204</v>
      </c>
      <c r="Q602" t="n">
        <v>-100</v>
      </c>
      <c r="R602" t="n">
        <v>0.1144</v>
      </c>
      <c r="S602">
        <f>IMAGE("https://mitra.stanford.edu/kundaje/oak/projects/neuro-variants/variant_position/credible/roussos_2024/variant_figures/roussos_2024.childhood.Astrocyte/rs12418899_count_position.png",4,220,900)</f>
        <v/>
      </c>
      <c r="T602">
        <f>IMAGE("https://mitra.stanford.edu/kundaje/oak/projects/neuro-variants/variant_position/credible/roussos_2024/variant_figures/roussos_2024.childhood.Astrocyte/rs12418899_profile_position.png",4,220,900)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-0.00470974058</v>
      </c>
      <c r="G603" t="n">
        <v>0.8329033305770079</v>
      </c>
      <c r="H603" t="n">
        <v>0.0225689894050949</v>
      </c>
      <c r="I603" t="n">
        <v>0.08656463355474581</v>
      </c>
      <c r="J603" t="n">
        <v>0.1546556448596703</v>
      </c>
      <c r="K603" t="n">
        <v>0.2467840687933848</v>
      </c>
      <c r="L603" t="b">
        <v>0</v>
      </c>
      <c r="M603" t="b">
        <v>0</v>
      </c>
      <c r="N603" t="inlineStr">
        <is>
          <t>ref</t>
        </is>
      </c>
      <c r="O603" t="n">
        <v>-90</v>
      </c>
      <c r="P603" t="n">
        <v>0.04147</v>
      </c>
      <c r="Q603" t="n">
        <v>-90</v>
      </c>
      <c r="R603" t="n">
        <v>0.2045</v>
      </c>
      <c r="S603">
        <f>IMAGE("https://mitra.stanford.edu/kundaje/oak/projects/neuro-variants/variant_position/credible/roussos_2024/variant_figures/roussos_2024.childhood.Astrocyte/rs16894_count_position.png",4,220,900)</f>
        <v/>
      </c>
      <c r="T603">
        <f>IMAGE("https://mitra.stanford.edu/kundaje/oak/projects/neuro-variants/variant_position/credible/roussos_2024/variant_figures/roussos_2024.childhood.Astrocyte/rs16894_profile_position.png",4,220,900)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-0.01859266252</v>
      </c>
      <c r="G604" t="n">
        <v>0.512011719486607</v>
      </c>
      <c r="H604" t="n">
        <v>0.0112608651086737</v>
      </c>
      <c r="I604" t="n">
        <v>0.5890110303571662</v>
      </c>
      <c r="J604" t="n">
        <v>0.0491500843427751</v>
      </c>
      <c r="K604" t="n">
        <v>0.4524325906097685</v>
      </c>
      <c r="L604" t="b">
        <v>0</v>
      </c>
      <c r="M604" t="b">
        <v>0</v>
      </c>
      <c r="N604" t="inlineStr">
        <is>
          <t>ref</t>
        </is>
      </c>
      <c r="O604" t="n">
        <v>100</v>
      </c>
      <c r="P604" t="n">
        <v>0.0379</v>
      </c>
      <c r="Q604" t="n">
        <v>-15</v>
      </c>
      <c r="R604" t="n">
        <v>0.01123</v>
      </c>
      <c r="S604">
        <f>IMAGE("https://mitra.stanford.edu/kundaje/oak/projects/neuro-variants/variant_position/credible/roussos_2024/variant_figures/roussos_2024.childhood.Astrocyte/rs10895715_count_position.png",4,220,900)</f>
        <v/>
      </c>
      <c r="T604">
        <f>IMAGE("https://mitra.stanford.edu/kundaje/oak/projects/neuro-variants/variant_position/credible/roussos_2024/variant_figures/roussos_2024.childhood.Astrocyte/rs10895715_profile_position.png",4,220,900)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-0.014175322712</v>
      </c>
      <c r="G605" t="n">
        <v>0.6402126056965354</v>
      </c>
      <c r="H605" t="n">
        <v>0.0109842046705904</v>
      </c>
      <c r="I605" t="n">
        <v>0.6127262153628172</v>
      </c>
      <c r="J605" t="n">
        <v>0.0002099028340698</v>
      </c>
      <c r="K605" t="n">
        <v>0.9712315575414656</v>
      </c>
      <c r="L605" t="b">
        <v>0</v>
      </c>
      <c r="M605" t="b">
        <v>0</v>
      </c>
      <c r="N605" t="inlineStr">
        <is>
          <t>ref</t>
        </is>
      </c>
      <c r="O605" t="n">
        <v>0</v>
      </c>
      <c r="P605" t="n">
        <v>0</v>
      </c>
      <c r="Q605" t="n">
        <v>95</v>
      </c>
      <c r="R605" t="n">
        <v>0.0936</v>
      </c>
      <c r="S605">
        <f>IMAGE("https://mitra.stanford.edu/kundaje/oak/projects/neuro-variants/variant_position/credible/roussos_2024/variant_figures/roussos_2024.childhood.Astrocyte/rs1147010_count_position.png",4,220,900)</f>
        <v/>
      </c>
      <c r="T605">
        <f>IMAGE("https://mitra.stanford.edu/kundaje/oak/projects/neuro-variants/variant_position/credible/roussos_2024/variant_figures/roussos_2024.childhood.Astrocyte/rs1147010_profile_position.png",4,220,900)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-0.00566399416</v>
      </c>
      <c r="G606" t="n">
        <v>0.4928420972543692</v>
      </c>
      <c r="H606" t="n">
        <v>0.0207693234825208</v>
      </c>
      <c r="I606" t="n">
        <v>0.1124378177598524</v>
      </c>
      <c r="J606" t="n">
        <v>0.0314846618274521</v>
      </c>
      <c r="K606" t="n">
        <v>0.5309248582536426</v>
      </c>
      <c r="L606" t="b">
        <v>0</v>
      </c>
      <c r="M606" t="b">
        <v>0</v>
      </c>
      <c r="N606" t="inlineStr">
        <is>
          <t>ref</t>
        </is>
      </c>
      <c r="O606" t="n">
        <v>100</v>
      </c>
      <c r="P606" t="n">
        <v>0.014984</v>
      </c>
      <c r="Q606" t="n">
        <v>100</v>
      </c>
      <c r="R606" t="n">
        <v>0.1483</v>
      </c>
      <c r="S606">
        <f>IMAGE("https://mitra.stanford.edu/kundaje/oak/projects/neuro-variants/variant_position/credible/roussos_2024/variant_figures/roussos_2024.childhood.Astrocyte/rs72972953_count_position.png",4,220,900)</f>
        <v/>
      </c>
      <c r="T606">
        <f>IMAGE("https://mitra.stanford.edu/kundaje/oak/projects/neuro-variants/variant_position/credible/roussos_2024/variant_figures/roussos_2024.childhood.Astrocyte/rs72972953_profile_position.png",4,220,900)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-0.01035745746</v>
      </c>
      <c r="G607" t="n">
        <v>0.7035811150156392</v>
      </c>
      <c r="H607" t="n">
        <v>0.0273039357586855</v>
      </c>
      <c r="I607" t="n">
        <v>0.0427105961261538</v>
      </c>
      <c r="J607" t="n">
        <v>0.0109683771839435</v>
      </c>
      <c r="K607" t="n">
        <v>0.6834769594099579</v>
      </c>
      <c r="L607" t="b">
        <v>0</v>
      </c>
      <c r="M607" t="b">
        <v>0</v>
      </c>
      <c r="N607" t="inlineStr">
        <is>
          <t>ref</t>
        </is>
      </c>
      <c r="O607" t="n">
        <v>95</v>
      </c>
      <c r="P607" t="n">
        <v>0.07630000000000001</v>
      </c>
      <c r="Q607" t="n">
        <v>0</v>
      </c>
      <c r="R607" t="n">
        <v>0</v>
      </c>
      <c r="S607">
        <f>IMAGE("https://mitra.stanford.edu/kundaje/oak/projects/neuro-variants/variant_position/credible/roussos_2024/variant_figures/roussos_2024.childhood.Astrocyte/rs6591097_count_position.png",4,220,900)</f>
        <v/>
      </c>
      <c r="T607">
        <f>IMAGE("https://mitra.stanford.edu/kundaje/oak/projects/neuro-variants/variant_position/credible/roussos_2024/variant_figures/roussos_2024.childhood.Astrocyte/rs6591097_profile_position.png",4,220,900)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0.089923761</v>
      </c>
      <c r="G608" t="n">
        <v>0.0925480280304269</v>
      </c>
      <c r="H608" t="n">
        <v>0.0210093285879652</v>
      </c>
      <c r="I608" t="n">
        <v>0.1162359117383637</v>
      </c>
      <c r="J608" t="n">
        <v>0.0184722126811842</v>
      </c>
      <c r="K608" t="n">
        <v>0.6435507516730509</v>
      </c>
      <c r="L608" t="b">
        <v>0</v>
      </c>
      <c r="M608" t="b">
        <v>0</v>
      </c>
      <c r="N608" t="inlineStr">
        <is>
          <t>alt</t>
        </is>
      </c>
      <c r="O608" t="n">
        <v>5</v>
      </c>
      <c r="P608" t="n">
        <v>0.001465</v>
      </c>
      <c r="Q608" t="n">
        <v>0</v>
      </c>
      <c r="R608" t="n">
        <v>0</v>
      </c>
      <c r="S608">
        <f>IMAGE("https://mitra.stanford.edu/kundaje/oak/projects/neuro-variants/variant_position/credible/roussos_2024/variant_figures/roussos_2024.childhood.Astrocyte/rs1144403_count_position.png",4,220,900)</f>
        <v/>
      </c>
      <c r="T608">
        <f>IMAGE("https://mitra.stanford.edu/kundaje/oak/projects/neuro-variants/variant_position/credible/roussos_2024/variant_figures/roussos_2024.childhood.Astrocyte/rs1144403_profile_position.png",4,220,900)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-0.0834085502</v>
      </c>
      <c r="G609" t="n">
        <v>0.1258081050383209</v>
      </c>
      <c r="H609" t="n">
        <v>0.0122324989626758</v>
      </c>
      <c r="I609" t="n">
        <v>0.4822973489975254</v>
      </c>
      <c r="J609" t="n">
        <v>0.2197102577606802</v>
      </c>
      <c r="K609" t="n">
        <v>0.1838040528835539</v>
      </c>
      <c r="L609" t="b">
        <v>0</v>
      </c>
      <c r="M609" t="b">
        <v>0</v>
      </c>
      <c r="N609" t="inlineStr">
        <is>
          <t>ref</t>
        </is>
      </c>
      <c r="O609" t="n">
        <v>95</v>
      </c>
      <c r="P609" t="n">
        <v>0.01703</v>
      </c>
      <c r="Q609" t="n">
        <v>60</v>
      </c>
      <c r="R609" t="n">
        <v>0.04053</v>
      </c>
      <c r="S609">
        <f>IMAGE("https://mitra.stanford.edu/kundaje/oak/projects/neuro-variants/variant_position/credible/roussos_2024/variant_figures/roussos_2024.childhood.Astrocyte/rs1529338_count_position.png",4,220,900)</f>
        <v/>
      </c>
      <c r="T609">
        <f>IMAGE("https://mitra.stanford.edu/kundaje/oak/projects/neuro-variants/variant_position/credible/roussos_2024/variant_figures/roussos_2024.childhood.Astrocyte/rs1529338_profile_position.png",4,220,900)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0.0016739421</v>
      </c>
      <c r="G610" t="n">
        <v>0.8808529422550458</v>
      </c>
      <c r="H610" t="n">
        <v>0.0233944265748108</v>
      </c>
      <c r="I610" t="n">
        <v>0.0755598642931934</v>
      </c>
      <c r="J610" t="n">
        <v>0.0476258081259111</v>
      </c>
      <c r="K610" t="n">
        <v>0.4518087990330863</v>
      </c>
      <c r="L610" t="b">
        <v>0</v>
      </c>
      <c r="M610" t="b">
        <v>0</v>
      </c>
      <c r="N610" t="inlineStr">
        <is>
          <t>alt</t>
        </is>
      </c>
      <c r="O610" t="n">
        <v>-100</v>
      </c>
      <c r="P610" t="n">
        <v>0.04135</v>
      </c>
      <c r="Q610" t="n">
        <v>-100</v>
      </c>
      <c r="R610" t="n">
        <v>0.05643</v>
      </c>
      <c r="S610">
        <f>IMAGE("https://mitra.stanford.edu/kundaje/oak/projects/neuro-variants/variant_position/credible/roussos_2024/variant_figures/roussos_2024.childhood.Astrocyte/rs4755059_count_position.png",4,220,900)</f>
        <v/>
      </c>
      <c r="T610">
        <f>IMAGE("https://mitra.stanford.edu/kundaje/oak/projects/neuro-variants/variant_position/credible/roussos_2024/variant_figures/roussos_2024.childhood.Astrocyte/rs4755059_profile_position.png",4,220,900)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0.0256967558</v>
      </c>
      <c r="G611" t="n">
        <v>0.4241451472183394</v>
      </c>
      <c r="H611" t="n">
        <v>0.0080023126535545</v>
      </c>
      <c r="I611" t="n">
        <v>0.8918363285913349</v>
      </c>
      <c r="J611" t="n">
        <v>0.0172158488088967</v>
      </c>
      <c r="K611" t="n">
        <v>0.6333684265278613</v>
      </c>
      <c r="L611" t="b">
        <v>0</v>
      </c>
      <c r="M611" t="b">
        <v>0</v>
      </c>
      <c r="N611" t="inlineStr">
        <is>
          <t>alt</t>
        </is>
      </c>
      <c r="O611" t="n">
        <v>-45</v>
      </c>
      <c r="P611" t="n">
        <v>0.01575</v>
      </c>
      <c r="Q611" t="n">
        <v>100</v>
      </c>
      <c r="R611" t="n">
        <v>0.1434</v>
      </c>
      <c r="S611">
        <f>IMAGE("https://mitra.stanford.edu/kundaje/oak/projects/neuro-variants/variant_position/credible/roussos_2024/variant_figures/roussos_2024.childhood.Astrocyte/rs2555136_count_position.png",4,220,900)</f>
        <v/>
      </c>
      <c r="T611">
        <f>IMAGE("https://mitra.stanford.edu/kundaje/oak/projects/neuro-variants/variant_position/credible/roussos_2024/variant_figures/roussos_2024.childhood.Astrocyte/rs2555136_profile_position.png",4,220,900)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0.00136274696</v>
      </c>
      <c r="G612" t="n">
        <v>0.888098692146322</v>
      </c>
      <c r="H612" t="n">
        <v>0.0291592144751945</v>
      </c>
      <c r="I612" t="n">
        <v>0.0335099715248884</v>
      </c>
      <c r="J612" t="n">
        <v>0.0021661972476013</v>
      </c>
      <c r="K612" t="n">
        <v>0.8637949026920336</v>
      </c>
      <c r="L612" t="b">
        <v>0</v>
      </c>
      <c r="M612" t="b">
        <v>0</v>
      </c>
      <c r="N612" t="inlineStr">
        <is>
          <t>alt</t>
        </is>
      </c>
      <c r="O612" t="n">
        <v>100</v>
      </c>
      <c r="P612" t="n">
        <v>0.002777</v>
      </c>
      <c r="Q612" t="n">
        <v>60</v>
      </c>
      <c r="R612" t="n">
        <v>0.06995</v>
      </c>
      <c r="S612">
        <f>IMAGE("https://mitra.stanford.edu/kundaje/oak/projects/neuro-variants/variant_position/credible/roussos_2024/variant_figures/roussos_2024.childhood.Astrocyte/rs7131576_count_position.png",4,220,900)</f>
        <v/>
      </c>
      <c r="T612">
        <f>IMAGE("https://mitra.stanford.edu/kundaje/oak/projects/neuro-variants/variant_position/credible/roussos_2024/variant_figures/roussos_2024.childhood.Astrocyte/rs7131576_profile_position.png",4,220,900)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0.228581798</v>
      </c>
      <c r="G613" t="n">
        <v>0.0115768159691062</v>
      </c>
      <c r="H613" t="n">
        <v>0.0317053527376886</v>
      </c>
      <c r="I613" t="n">
        <v>0.026927984993875</v>
      </c>
      <c r="J613" t="n">
        <v>0.07123796875119261</v>
      </c>
      <c r="K613" t="n">
        <v>0.3902660253755389</v>
      </c>
      <c r="L613" t="b">
        <v>1</v>
      </c>
      <c r="M613" t="b">
        <v>0</v>
      </c>
      <c r="N613" t="inlineStr">
        <is>
          <t>alt</t>
        </is>
      </c>
      <c r="O613" t="n">
        <v>100</v>
      </c>
      <c r="P613" t="n">
        <v>0.01743</v>
      </c>
      <c r="Q613" t="n">
        <v>-20</v>
      </c>
      <c r="R613" t="n">
        <v>0.05957</v>
      </c>
      <c r="S613">
        <f>IMAGE("https://mitra.stanford.edu/kundaje/oak/projects/neuro-variants/variant_position/credible/roussos_2024/variant_figures/roussos_2024.childhood.Astrocyte/rs1030395_count_position.png",4,220,900)</f>
        <v/>
      </c>
      <c r="T613">
        <f>IMAGE("https://mitra.stanford.edu/kundaje/oak/projects/neuro-variants/variant_position/credible/roussos_2024/variant_figures/roussos_2024.childhood.Astrocyte/rs1030395_profile_position.png",4,220,900)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0.0163707312</v>
      </c>
      <c r="G614" t="n">
        <v>0.581705630962858</v>
      </c>
      <c r="H614" t="n">
        <v>0.0343212235748373</v>
      </c>
      <c r="I614" t="n">
        <v>0.0174783269336075</v>
      </c>
      <c r="J614" t="n">
        <v>0.0204849900391563</v>
      </c>
      <c r="K614" t="n">
        <v>0.586891721275041</v>
      </c>
      <c r="L614" t="b">
        <v>1</v>
      </c>
      <c r="M614" t="b">
        <v>0</v>
      </c>
      <c r="N614" t="inlineStr">
        <is>
          <t>alt</t>
        </is>
      </c>
      <c r="O614" t="n">
        <v>-60</v>
      </c>
      <c r="P614" t="n">
        <v>0.04633</v>
      </c>
      <c r="Q614" t="n">
        <v>65</v>
      </c>
      <c r="R614" t="n">
        <v>0.0474</v>
      </c>
      <c r="S614">
        <f>IMAGE("https://mitra.stanford.edu/kundaje/oak/projects/neuro-variants/variant_position/credible/roussos_2024/variant_figures/roussos_2024.childhood.Astrocyte/rs10895736_count_position.png",4,220,900)</f>
        <v/>
      </c>
      <c r="T614">
        <f>IMAGE("https://mitra.stanford.edu/kundaje/oak/projects/neuro-variants/variant_position/credible/roussos_2024/variant_figures/roussos_2024.childhood.Astrocyte/rs10895736_profile_position.png",4,220,900)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0.00245250966</v>
      </c>
      <c r="G615" t="n">
        <v>0.7637956929492583</v>
      </c>
      <c r="H615" t="n">
        <v>0.0250001105571102</v>
      </c>
      <c r="I615" t="n">
        <v>0.0580706966030064</v>
      </c>
      <c r="J615" t="n">
        <v>0.0301222016135802</v>
      </c>
      <c r="K615" t="n">
        <v>0.5299620737441222</v>
      </c>
      <c r="L615" t="b">
        <v>0</v>
      </c>
      <c r="M615" t="b">
        <v>0</v>
      </c>
      <c r="N615" t="inlineStr">
        <is>
          <t>alt</t>
        </is>
      </c>
      <c r="O615" t="n">
        <v>-100</v>
      </c>
      <c r="P615" t="n">
        <v>0.05557</v>
      </c>
      <c r="Q615" t="n">
        <v>-100</v>
      </c>
      <c r="R615" t="n">
        <v>0.06665</v>
      </c>
      <c r="S615">
        <f>IMAGE("https://mitra.stanford.edu/kundaje/oak/projects/neuro-variants/variant_position/credible/roussos_2024/variant_figures/roussos_2024.childhood.Astrocyte/rs10895737_count_position.png",4,220,900)</f>
        <v/>
      </c>
      <c r="T615">
        <f>IMAGE("https://mitra.stanford.edu/kundaje/oak/projects/neuro-variants/variant_position/credible/roussos_2024/variant_figures/roussos_2024.childhood.Astrocyte/rs10895737_profile_position.png",4,220,900)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-0.0338584954</v>
      </c>
      <c r="G616" t="n">
        <v>0.3412717697409905</v>
      </c>
      <c r="H616" t="n">
        <v>0.008076337637947101</v>
      </c>
      <c r="I616" t="n">
        <v>0.9023826801386134</v>
      </c>
      <c r="J616" t="n">
        <v>0.0019104974315525</v>
      </c>
      <c r="K616" t="n">
        <v>0.8641503094001466</v>
      </c>
      <c r="L616" t="b">
        <v>0</v>
      </c>
      <c r="M616" t="b">
        <v>0</v>
      </c>
      <c r="N616" t="inlineStr">
        <is>
          <t>ref</t>
        </is>
      </c>
      <c r="O616" t="n">
        <v>-100</v>
      </c>
      <c r="P616" t="n">
        <v>0.0209</v>
      </c>
      <c r="Q616" t="n">
        <v>-10</v>
      </c>
      <c r="R616" t="n">
        <v>0.01109</v>
      </c>
      <c r="S616">
        <f>IMAGE("https://mitra.stanford.edu/kundaje/oak/projects/neuro-variants/variant_position/credible/roussos_2024/variant_figures/roussos_2024.childhood.Astrocyte/rs7947634_count_position.png",4,220,900)</f>
        <v/>
      </c>
      <c r="T616">
        <f>IMAGE("https://mitra.stanford.edu/kundaje/oak/projects/neuro-variants/variant_position/credible/roussos_2024/variant_figures/roussos_2024.childhood.Astrocyte/rs7947634_profile_position.png",4,220,900)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0.0444591166</v>
      </c>
      <c r="G617" t="n">
        <v>0.2406114210107269</v>
      </c>
      <c r="H617" t="n">
        <v>0.0112889094780816</v>
      </c>
      <c r="I617" t="n">
        <v>0.5845372063831171</v>
      </c>
      <c r="J617" t="n">
        <v>0.169408379321136</v>
      </c>
      <c r="K617" t="n">
        <v>0.2345551524402545</v>
      </c>
      <c r="L617" t="b">
        <v>0</v>
      </c>
      <c r="M617" t="b">
        <v>0</v>
      </c>
      <c r="N617" t="inlineStr">
        <is>
          <t>alt</t>
        </is>
      </c>
      <c r="O617" t="n">
        <v>0</v>
      </c>
      <c r="P617" t="n">
        <v>0</v>
      </c>
      <c r="Q617" t="n">
        <v>-70</v>
      </c>
      <c r="R617" t="n">
        <v>0.257</v>
      </c>
      <c r="S617">
        <f>IMAGE("https://mitra.stanford.edu/kundaje/oak/projects/neuro-variants/variant_position/credible/roussos_2024/variant_figures/roussos_2024.childhood.Astrocyte/rs12576701_count_position.png",4,220,900)</f>
        <v/>
      </c>
      <c r="T617">
        <f>IMAGE("https://mitra.stanford.edu/kundaje/oak/projects/neuro-variants/variant_position/credible/roussos_2024/variant_figures/roussos_2024.childhood.Astrocyte/rs12576701_profile_position.png",4,220,900)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-0.0242090646</v>
      </c>
      <c r="G618" t="n">
        <v>0.4687799471909005</v>
      </c>
      <c r="H618" t="n">
        <v>0.008239408591385399</v>
      </c>
      <c r="I618" t="n">
        <v>0.887487716854784</v>
      </c>
      <c r="J618" t="n">
        <v>0.0126781311778219</v>
      </c>
      <c r="K618" t="n">
        <v>0.6604128087377825</v>
      </c>
      <c r="L618" t="b">
        <v>0</v>
      </c>
      <c r="M618" t="b">
        <v>0</v>
      </c>
      <c r="N618" t="inlineStr">
        <is>
          <t>ref</t>
        </is>
      </c>
      <c r="O618" t="n">
        <v>100</v>
      </c>
      <c r="P618" t="n">
        <v>0.02563</v>
      </c>
      <c r="Q618" t="n">
        <v>-100</v>
      </c>
      <c r="R618" t="n">
        <v>0.07904</v>
      </c>
      <c r="S618">
        <f>IMAGE("https://mitra.stanford.edu/kundaje/oak/projects/neuro-variants/variant_position/credible/roussos_2024/variant_figures/roussos_2024.childhood.Astrocyte/rs6589285_count_position.png",4,220,900)</f>
        <v/>
      </c>
      <c r="T618">
        <f>IMAGE("https://mitra.stanford.edu/kundaje/oak/projects/neuro-variants/variant_position/credible/roussos_2024/variant_figures/roussos_2024.childhood.Astrocyte/rs6589285_profile_position.png",4,220,900)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-0.0539414167999999</v>
      </c>
      <c r="G619" t="n">
        <v>0.2018041572761381</v>
      </c>
      <c r="H619" t="n">
        <v>0.0179050867799363</v>
      </c>
      <c r="I619" t="n">
        <v>0.1758031146445652</v>
      </c>
      <c r="J619" t="n">
        <v>0.0108401456344026</v>
      </c>
      <c r="K619" t="n">
        <v>0.6916458832482552</v>
      </c>
      <c r="L619" t="b">
        <v>0</v>
      </c>
      <c r="M619" t="b">
        <v>0</v>
      </c>
      <c r="N619" t="inlineStr">
        <is>
          <t>ref</t>
        </is>
      </c>
      <c r="O619" t="n">
        <v>25</v>
      </c>
      <c r="P619" t="n">
        <v>0.00421</v>
      </c>
      <c r="Q619" t="n">
        <v>50</v>
      </c>
      <c r="R619" t="n">
        <v>0.05</v>
      </c>
      <c r="S619">
        <f>IMAGE("https://mitra.stanford.edu/kundaje/oak/projects/neuro-variants/variant_position/credible/roussos_2024/variant_figures/roussos_2024.childhood.Astrocyte/rs4936065_count_position.png",4,220,900)</f>
        <v/>
      </c>
      <c r="T619">
        <f>IMAGE("https://mitra.stanford.edu/kundaje/oak/projects/neuro-variants/variant_position/credible/roussos_2024/variant_figures/roussos_2024.childhood.Astrocyte/rs4936065_profile_position.png",4,220,900)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0.2271495879999999</v>
      </c>
      <c r="G620" t="n">
        <v>0.0119672209069996</v>
      </c>
      <c r="H620" t="n">
        <v>0.0356756380675381</v>
      </c>
      <c r="I620" t="n">
        <v>0.0162364737601945</v>
      </c>
      <c r="J620" t="n">
        <v>0.1600009159396395</v>
      </c>
      <c r="K620" t="n">
        <v>0.2457751434319688</v>
      </c>
      <c r="L620" t="b">
        <v>1</v>
      </c>
      <c r="M620" t="b">
        <v>0</v>
      </c>
      <c r="N620" t="inlineStr">
        <is>
          <t>alt</t>
        </is>
      </c>
      <c r="O620" t="n">
        <v>-80</v>
      </c>
      <c r="P620" t="n">
        <v>0.01139</v>
      </c>
      <c r="Q620" t="n">
        <v>85</v>
      </c>
      <c r="R620" t="n">
        <v>0.089</v>
      </c>
      <c r="S620">
        <f>IMAGE("https://mitra.stanford.edu/kundaje/oak/projects/neuro-variants/variant_position/credible/roussos_2024/variant_figures/roussos_2024.childhood.Astrocyte/rs12419862_count_position.png",4,220,900)</f>
        <v/>
      </c>
      <c r="T620">
        <f>IMAGE("https://mitra.stanford.edu/kundaje/oak/projects/neuro-variants/variant_position/credible/roussos_2024/variant_figures/roussos_2024.childhood.Astrocyte/rs12419862_profile_position.png",4,220,900)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0.0223390303999999</v>
      </c>
      <c r="G621" t="n">
        <v>0.3935994257388259</v>
      </c>
      <c r="H621" t="n">
        <v>0.0136616035515234</v>
      </c>
      <c r="I621" t="n">
        <v>0.3877296666975838</v>
      </c>
      <c r="J621" t="n">
        <v>0.1141764557715646</v>
      </c>
      <c r="K621" t="n">
        <v>0.3039951351672552</v>
      </c>
      <c r="L621" t="b">
        <v>0</v>
      </c>
      <c r="M621" t="b">
        <v>0</v>
      </c>
      <c r="N621" t="inlineStr">
        <is>
          <t>alt</t>
        </is>
      </c>
      <c r="O621" t="n">
        <v>-100</v>
      </c>
      <c r="P621" t="n">
        <v>0.00444</v>
      </c>
      <c r="Q621" t="n">
        <v>55</v>
      </c>
      <c r="R621" t="n">
        <v>0.08655</v>
      </c>
      <c r="S621">
        <f>IMAGE("https://mitra.stanford.edu/kundaje/oak/projects/neuro-variants/variant_position/credible/roussos_2024/variant_figures/roussos_2024.childhood.Astrocyte/rs11214193_count_position.png",4,220,900)</f>
        <v/>
      </c>
      <c r="T621">
        <f>IMAGE("https://mitra.stanford.edu/kundaje/oak/projects/neuro-variants/variant_position/credible/roussos_2024/variant_figures/roussos_2024.childhood.Astrocyte/rs11214193_profile_position.png",4,220,900)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-0.0024770115799999</v>
      </c>
      <c r="G622" t="n">
        <v>0.7315259952249772</v>
      </c>
      <c r="H622" t="n">
        <v>0.0111116309328408</v>
      </c>
      <c r="I622" t="n">
        <v>0.5943905049409889</v>
      </c>
      <c r="J622" t="n">
        <v>0.2395930174868142</v>
      </c>
      <c r="K622" t="n">
        <v>0.1740970738258062</v>
      </c>
      <c r="L622" t="b">
        <v>0</v>
      </c>
      <c r="M622" t="b">
        <v>0</v>
      </c>
      <c r="N622" t="inlineStr">
        <is>
          <t>ref</t>
        </is>
      </c>
      <c r="O622" t="n">
        <v>95</v>
      </c>
      <c r="P622" t="n">
        <v>0.01463</v>
      </c>
      <c r="Q622" t="n">
        <v>-35</v>
      </c>
      <c r="R622" t="n">
        <v>0.11365</v>
      </c>
      <c r="S622">
        <f>IMAGE("https://mitra.stanford.edu/kundaje/oak/projects/neuro-variants/variant_position/credible/roussos_2024/variant_figures/roussos_2024.childhood.Astrocyte/rs11214222_count_position.png",4,220,900)</f>
        <v/>
      </c>
      <c r="T622">
        <f>IMAGE("https://mitra.stanford.edu/kundaje/oak/projects/neuro-variants/variant_position/credible/roussos_2024/variant_figures/roussos_2024.childhood.Astrocyte/rs11214222_profile_position.png",4,220,900)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-0.229474746</v>
      </c>
      <c r="G623" t="n">
        <v>0.0135220362427795</v>
      </c>
      <c r="H623" t="n">
        <v>0.0266586292220155</v>
      </c>
      <c r="I623" t="n">
        <v>0.0540649671015734</v>
      </c>
      <c r="J623" t="n">
        <v>0.1589666674299496</v>
      </c>
      <c r="K623" t="n">
        <v>0.2438588333072302</v>
      </c>
      <c r="L623" t="b">
        <v>1</v>
      </c>
      <c r="M623" t="b">
        <v>0</v>
      </c>
      <c r="N623" t="inlineStr">
        <is>
          <t>ref</t>
        </is>
      </c>
      <c r="O623" t="n">
        <v>40</v>
      </c>
      <c r="P623" t="n">
        <v>0.01672</v>
      </c>
      <c r="Q623" t="n">
        <v>20</v>
      </c>
      <c r="R623" t="n">
        <v>0.06494</v>
      </c>
      <c r="S623">
        <f>IMAGE("https://mitra.stanford.edu/kundaje/oak/projects/neuro-variants/variant_position/credible/roussos_2024/variant_figures/roussos_2024.childhood.Astrocyte/rs12279124_count_position.png",4,220,900)</f>
        <v/>
      </c>
      <c r="T623">
        <f>IMAGE("https://mitra.stanford.edu/kundaje/oak/projects/neuro-variants/variant_position/credible/roussos_2024/variant_figures/roussos_2024.childhood.Astrocyte/rs12279124_profile_position.png",4,220,900)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0.0368747338</v>
      </c>
      <c r="G624" t="n">
        <v>0.3073755459147393</v>
      </c>
      <c r="H624" t="n">
        <v>0.0159646016756007</v>
      </c>
      <c r="I624" t="n">
        <v>0.2512883072369999</v>
      </c>
      <c r="J624" t="n">
        <v>0.0183378748673795</v>
      </c>
      <c r="K624" t="n">
        <v>0.6136623955204152</v>
      </c>
      <c r="L624" t="b">
        <v>0</v>
      </c>
      <c r="M624" t="b">
        <v>0</v>
      </c>
      <c r="N624" t="inlineStr">
        <is>
          <t>alt</t>
        </is>
      </c>
      <c r="O624" t="n">
        <v>50</v>
      </c>
      <c r="P624" t="n">
        <v>0.00651</v>
      </c>
      <c r="Q624" t="n">
        <v>-50</v>
      </c>
      <c r="R624" t="n">
        <v>0.05566</v>
      </c>
      <c r="S624">
        <f>IMAGE("https://mitra.stanford.edu/kundaje/oak/projects/neuro-variants/variant_position/credible/roussos_2024/variant_figures/roussos_2024.childhood.Astrocyte/rs7946458_count_position.png",4,220,900)</f>
        <v/>
      </c>
      <c r="T624">
        <f>IMAGE("https://mitra.stanford.edu/kundaje/oak/projects/neuro-variants/variant_position/credible/roussos_2024/variant_figures/roussos_2024.childhood.Astrocyte/rs7946458_profile_position.png",4,220,900)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0.11065056674</v>
      </c>
      <c r="G625" t="n">
        <v>0.0839399891349885</v>
      </c>
      <c r="H625" t="n">
        <v>0.0571552923733311</v>
      </c>
      <c r="I625" t="n">
        <v>0.0046771453447276</v>
      </c>
      <c r="J625" t="n">
        <v>0.000902963828017</v>
      </c>
      <c r="K625" t="n">
        <v>0.9186197078513748</v>
      </c>
      <c r="L625" t="b">
        <v>0</v>
      </c>
      <c r="M625" t="b">
        <v>0</v>
      </c>
      <c r="N625" t="inlineStr">
        <is>
          <t>alt</t>
        </is>
      </c>
      <c r="O625" t="n">
        <v>-85</v>
      </c>
      <c r="P625" t="n">
        <v>0.001999</v>
      </c>
      <c r="Q625" t="n">
        <v>70</v>
      </c>
      <c r="R625" t="n">
        <v>0.06836</v>
      </c>
      <c r="S625">
        <f>IMAGE("https://mitra.stanford.edu/kundaje/oak/projects/neuro-variants/variant_position/credible/roussos_2024/variant_figures/roussos_2024.childhood.Astrocyte/rs7118324_count_position.png",4,220,900)</f>
        <v/>
      </c>
      <c r="T625">
        <f>IMAGE("https://mitra.stanford.edu/kundaje/oak/projects/neuro-variants/variant_position/credible/roussos_2024/variant_figures/roussos_2024.childhood.Astrocyte/rs7118324_profile_position.png",4,220,900)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0.0910818706</v>
      </c>
      <c r="G626" t="n">
        <v>0.0810909039679166</v>
      </c>
      <c r="H626" t="n">
        <v>0.0325820413905689</v>
      </c>
      <c r="I626" t="n">
        <v>0.0215241592759052</v>
      </c>
      <c r="J626" t="n">
        <v>0.3859983360429881</v>
      </c>
      <c r="K626" t="n">
        <v>0.0927451312718128</v>
      </c>
      <c r="L626" t="b">
        <v>0</v>
      </c>
      <c r="M626" t="b">
        <v>0</v>
      </c>
      <c r="N626" t="inlineStr">
        <is>
          <t>alt</t>
        </is>
      </c>
      <c r="O626" t="n">
        <v>5</v>
      </c>
      <c r="P626" t="n">
        <v>0.003174</v>
      </c>
      <c r="Q626" t="n">
        <v>100</v>
      </c>
      <c r="R626" t="n">
        <v>0.1587</v>
      </c>
      <c r="S626">
        <f>IMAGE("https://mitra.stanford.edu/kundaje/oak/projects/neuro-variants/variant_position/credible/roussos_2024/variant_figures/roussos_2024.childhood.Astrocyte/rs12286447_count_position.png",4,220,900)</f>
        <v/>
      </c>
      <c r="T626">
        <f>IMAGE("https://mitra.stanford.edu/kundaje/oak/projects/neuro-variants/variant_position/credible/roussos_2024/variant_figures/roussos_2024.childhood.Astrocyte/rs12286447_profile_position.png",4,220,900)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-0.0507218112</v>
      </c>
      <c r="G627" t="n">
        <v>0.0915789457077363</v>
      </c>
      <c r="H627" t="n">
        <v>0.0318964027643319</v>
      </c>
      <c r="I627" t="n">
        <v>0.0293679803348277</v>
      </c>
      <c r="J627" t="n">
        <v>0.2215154221336813</v>
      </c>
      <c r="K627" t="n">
        <v>0.1858330878078636</v>
      </c>
      <c r="L627" t="b">
        <v>0</v>
      </c>
      <c r="M627" t="b">
        <v>0</v>
      </c>
      <c r="N627" t="inlineStr">
        <is>
          <t>ref</t>
        </is>
      </c>
      <c r="O627" t="n">
        <v>65</v>
      </c>
      <c r="P627" t="n">
        <v>0.003662</v>
      </c>
      <c r="Q627" t="n">
        <v>15</v>
      </c>
      <c r="R627" t="n">
        <v>0.04468</v>
      </c>
      <c r="S627">
        <f>IMAGE("https://mitra.stanford.edu/kundaje/oak/projects/neuro-variants/variant_position/credible/roussos_2024/variant_figures/roussos_2024.childhood.Astrocyte/rs3781884_count_position.png",4,220,900)</f>
        <v/>
      </c>
      <c r="T627">
        <f>IMAGE("https://mitra.stanford.edu/kundaje/oak/projects/neuro-variants/variant_position/credible/roussos_2024/variant_figures/roussos_2024.childhood.Astrocyte/rs3781884_profile_position.png",4,220,900)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-0.1386402031999999</v>
      </c>
      <c r="G628" t="n">
        <v>0.0377533018278524</v>
      </c>
      <c r="H628" t="n">
        <v>0.0203307511907936</v>
      </c>
      <c r="I628" t="n">
        <v>0.1231315971798022</v>
      </c>
      <c r="J628" t="n">
        <v>0.0294886766962056</v>
      </c>
      <c r="K628" t="n">
        <v>0.5515261368556041</v>
      </c>
      <c r="L628" t="b">
        <v>0</v>
      </c>
      <c r="M628" t="b">
        <v>0</v>
      </c>
      <c r="N628" t="inlineStr">
        <is>
          <t>ref</t>
        </is>
      </c>
      <c r="O628" t="n">
        <v>-95</v>
      </c>
      <c r="P628" t="n">
        <v>0.000702</v>
      </c>
      <c r="Q628" t="n">
        <v>-80</v>
      </c>
      <c r="R628" t="n">
        <v>0.06198</v>
      </c>
      <c r="S628">
        <f>IMAGE("https://mitra.stanford.edu/kundaje/oak/projects/neuro-variants/variant_position/credible/roussos_2024/variant_figures/roussos_2024.childhood.Astrocyte/rs12421616_count_position.png",4,220,900)</f>
        <v/>
      </c>
      <c r="T628">
        <f>IMAGE("https://mitra.stanford.edu/kundaje/oak/projects/neuro-variants/variant_position/credible/roussos_2024/variant_figures/roussos_2024.childhood.Astrocyte/rs12421616_profile_position.png",4,220,900)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0.0432252562</v>
      </c>
      <c r="G629" t="n">
        <v>0.2537094716746699</v>
      </c>
      <c r="H629" t="n">
        <v>0.0104162122702414</v>
      </c>
      <c r="I629" t="n">
        <v>0.6683031352285225</v>
      </c>
      <c r="J629" t="n">
        <v>0.0100035874302549</v>
      </c>
      <c r="K629" t="n">
        <v>0.7220230775193981</v>
      </c>
      <c r="L629" t="b">
        <v>0</v>
      </c>
      <c r="M629" t="b">
        <v>0</v>
      </c>
      <c r="N629" t="inlineStr">
        <is>
          <t>alt</t>
        </is>
      </c>
      <c r="O629" t="n">
        <v>75</v>
      </c>
      <c r="P629" t="n">
        <v>0.003487</v>
      </c>
      <c r="Q629" t="n">
        <v>40</v>
      </c>
      <c r="R629" t="n">
        <v>0.126</v>
      </c>
      <c r="S629">
        <f>IMAGE("https://mitra.stanford.edu/kundaje/oak/projects/neuro-variants/variant_position/credible/roussos_2024/variant_figures/roussos_2024.childhood.Astrocyte/rs7121986_count_position.png",4,220,900)</f>
        <v/>
      </c>
      <c r="T629">
        <f>IMAGE("https://mitra.stanford.edu/kundaje/oak/projects/neuro-variants/variant_position/credible/roussos_2024/variant_figures/roussos_2024.childhood.Astrocyte/rs7121986_profile_position.png",4,220,900)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0.0086650156799999</v>
      </c>
      <c r="G630" t="n">
        <v>0.618017019269556</v>
      </c>
      <c r="H630" t="n">
        <v>0.0374991415976529</v>
      </c>
      <c r="I630" t="n">
        <v>0.0124101860899697</v>
      </c>
      <c r="J630" t="n">
        <v>0.0632013616969308</v>
      </c>
      <c r="K630" t="n">
        <v>0.4176720104703417</v>
      </c>
      <c r="L630" t="b">
        <v>1</v>
      </c>
      <c r="M630" t="b">
        <v>0</v>
      </c>
      <c r="N630" t="inlineStr">
        <is>
          <t>alt</t>
        </is>
      </c>
      <c r="O630" t="n">
        <v>85</v>
      </c>
      <c r="P630" t="n">
        <v>0.0692</v>
      </c>
      <c r="Q630" t="n">
        <v>-90</v>
      </c>
      <c r="R630" t="n">
        <v>0.1711</v>
      </c>
      <c r="S630">
        <f>IMAGE("https://mitra.stanford.edu/kundaje/oak/projects/neuro-variants/variant_position/credible/roussos_2024/variant_figures/roussos_2024.childhood.Astrocyte/rs4245150_count_position.png",4,220,900)</f>
        <v/>
      </c>
      <c r="T630">
        <f>IMAGE("https://mitra.stanford.edu/kundaje/oak/projects/neuro-variants/variant_position/credible/roussos_2024/variant_figures/roussos_2024.childhood.Astrocyte/rs4245150_profile_position.png",4,220,900)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-0.0044818661442</v>
      </c>
      <c r="G631" t="n">
        <v>0.8638326559941673</v>
      </c>
      <c r="H631" t="n">
        <v>0.0116548094483964</v>
      </c>
      <c r="I631" t="n">
        <v>0.5485733939831124</v>
      </c>
      <c r="J631" t="n">
        <v>0.0593238838893849</v>
      </c>
      <c r="K631" t="n">
        <v>0.4297135717441241</v>
      </c>
      <c r="L631" t="b">
        <v>0</v>
      </c>
      <c r="M631" t="b">
        <v>0</v>
      </c>
      <c r="N631" t="inlineStr">
        <is>
          <t>ref</t>
        </is>
      </c>
      <c r="O631" t="n">
        <v>75</v>
      </c>
      <c r="P631" t="n">
        <v>0.09186</v>
      </c>
      <c r="Q631" t="n">
        <v>-95</v>
      </c>
      <c r="R631" t="n">
        <v>0.1043</v>
      </c>
      <c r="S631">
        <f>IMAGE("https://mitra.stanford.edu/kundaje/oak/projects/neuro-variants/variant_position/credible/roussos_2024/variant_figures/roussos_2024.childhood.Astrocyte/rs17602038_count_position.png",4,220,900)</f>
        <v/>
      </c>
      <c r="T631">
        <f>IMAGE("https://mitra.stanford.edu/kundaje/oak/projects/neuro-variants/variant_position/credible/roussos_2024/variant_figures/roussos_2024.childhood.Astrocyte/rs17602038_profile_position.png",4,220,900)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-0.242045686</v>
      </c>
      <c r="G632" t="n">
        <v>0.0113074102609523</v>
      </c>
      <c r="H632" t="n">
        <v>0.0325911907905226</v>
      </c>
      <c r="I632" t="n">
        <v>0.0230813303387915</v>
      </c>
      <c r="J632" t="n">
        <v>0.4699518368406189</v>
      </c>
      <c r="K632" t="n">
        <v>0.0601979784332115</v>
      </c>
      <c r="L632" t="b">
        <v>1</v>
      </c>
      <c r="M632" t="b">
        <v>0</v>
      </c>
      <c r="N632" t="inlineStr">
        <is>
          <t>ref</t>
        </is>
      </c>
      <c r="O632" t="n">
        <v>85</v>
      </c>
      <c r="P632" t="n">
        <v>0.01227</v>
      </c>
      <c r="Q632" t="n">
        <v>100</v>
      </c>
      <c r="R632" t="n">
        <v>0.09569999999999999</v>
      </c>
      <c r="S632">
        <f>IMAGE("https://mitra.stanford.edu/kundaje/oak/projects/neuro-variants/variant_position/credible/roussos_2024/variant_figures/roussos_2024.childhood.Astrocyte/rs2514222_count_position.png",4,220,900)</f>
        <v/>
      </c>
      <c r="T632">
        <f>IMAGE("https://mitra.stanford.edu/kundaje/oak/projects/neuro-variants/variant_position/credible/roussos_2024/variant_figures/roussos_2024.childhood.Astrocyte/rs2514222_profile_position.png",4,220,900)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-0.0435960148</v>
      </c>
      <c r="G633" t="n">
        <v>0.2795612949260095</v>
      </c>
      <c r="H633" t="n">
        <v>0.0168493159710195</v>
      </c>
      <c r="I633" t="n">
        <v>0.2153915094180253</v>
      </c>
      <c r="J633" t="n">
        <v>0.016670864723348</v>
      </c>
      <c r="K633" t="n">
        <v>0.6285160323074627</v>
      </c>
      <c r="L633" t="b">
        <v>0</v>
      </c>
      <c r="M633" t="b">
        <v>0</v>
      </c>
      <c r="N633" t="inlineStr">
        <is>
          <t>ref</t>
        </is>
      </c>
      <c r="O633" t="n">
        <v>-95</v>
      </c>
      <c r="P633" t="n">
        <v>0.00654</v>
      </c>
      <c r="Q633" t="n">
        <v>75</v>
      </c>
      <c r="R633" t="n">
        <v>0.025</v>
      </c>
      <c r="S633">
        <f>IMAGE("https://mitra.stanford.edu/kundaje/oak/projects/neuro-variants/variant_position/credible/roussos_2024/variant_figures/roussos_2024.childhood.Astrocyte/rs115990434_count_position.png",4,220,900)</f>
        <v/>
      </c>
      <c r="T633">
        <f>IMAGE("https://mitra.stanford.edu/kundaje/oak/projects/neuro-variants/variant_position/credible/roussos_2024/variant_figures/roussos_2024.childhood.Astrocyte/rs115990434_profile_position.png",4,220,900)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0.0201848266</v>
      </c>
      <c r="G634" t="n">
        <v>0.5084491677751822</v>
      </c>
      <c r="H634" t="n">
        <v>0.0190625956060947</v>
      </c>
      <c r="I634" t="n">
        <v>0.1526865583148497</v>
      </c>
      <c r="J634" t="n">
        <v>0.0141466877332783</v>
      </c>
      <c r="K634" t="n">
        <v>0.660734229011088</v>
      </c>
      <c r="L634" t="b">
        <v>0</v>
      </c>
      <c r="M634" t="b">
        <v>0</v>
      </c>
      <c r="N634" t="inlineStr">
        <is>
          <t>alt</t>
        </is>
      </c>
      <c r="O634" t="n">
        <v>100</v>
      </c>
      <c r="P634" t="n">
        <v>0.00689</v>
      </c>
      <c r="Q634" t="n">
        <v>100</v>
      </c>
      <c r="R634" t="n">
        <v>0.155</v>
      </c>
      <c r="S634">
        <f>IMAGE("https://mitra.stanford.edu/kundaje/oak/projects/neuro-variants/variant_position/credible/roussos_2024/variant_figures/roussos_2024.childhood.Astrocyte/rs59472562_count_position.png",4,220,900)</f>
        <v/>
      </c>
      <c r="T634">
        <f>IMAGE("https://mitra.stanford.edu/kundaje/oak/projects/neuro-variants/variant_position/credible/roussos_2024/variant_figures/roussos_2024.childhood.Astrocyte/rs59472562_profile_position.png",4,220,900)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0.0275249878</v>
      </c>
      <c r="G635" t="n">
        <v>0.4033144094053132</v>
      </c>
      <c r="H635" t="n">
        <v>0.0143213682163169</v>
      </c>
      <c r="I635" t="n">
        <v>0.3355585777825327</v>
      </c>
      <c r="J635" t="n">
        <v>0.1324883790158228</v>
      </c>
      <c r="K635" t="n">
        <v>0.2774308326559503</v>
      </c>
      <c r="L635" t="b">
        <v>0</v>
      </c>
      <c r="M635" t="b">
        <v>0</v>
      </c>
      <c r="N635" t="inlineStr">
        <is>
          <t>alt</t>
        </is>
      </c>
      <c r="O635" t="n">
        <v>-25</v>
      </c>
      <c r="P635" t="n">
        <v>0.0005836</v>
      </c>
      <c r="Q635" t="n">
        <v>90</v>
      </c>
      <c r="R635" t="n">
        <v>0.1389</v>
      </c>
      <c r="S635">
        <f>IMAGE("https://mitra.stanford.edu/kundaje/oak/projects/neuro-variants/variant_position/credible/roussos_2024/variant_figures/roussos_2024.childhood.Astrocyte/rs11607834_count_position.png",4,220,900)</f>
        <v/>
      </c>
      <c r="T635">
        <f>IMAGE("https://mitra.stanford.edu/kundaje/oak/projects/neuro-variants/variant_position/credible/roussos_2024/variant_figures/roussos_2024.childhood.Astrocyte/rs11607834_profile_position.png",4,220,900)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0.157652585</v>
      </c>
      <c r="G636" t="n">
        <v>0.0276756864974075</v>
      </c>
      <c r="H636" t="n">
        <v>0.0339319009135289</v>
      </c>
      <c r="I636" t="n">
        <v>0.0188049858520553</v>
      </c>
      <c r="J636" t="n">
        <v>0.1816957095860716</v>
      </c>
      <c r="K636" t="n">
        <v>0.2194203428399346</v>
      </c>
      <c r="L636" t="b">
        <v>1</v>
      </c>
      <c r="M636" t="b">
        <v>0</v>
      </c>
      <c r="N636" t="inlineStr">
        <is>
          <t>alt</t>
        </is>
      </c>
      <c r="O636" t="n">
        <v>-70</v>
      </c>
      <c r="P636" t="n">
        <v>0.006916</v>
      </c>
      <c r="Q636" t="n">
        <v>100</v>
      </c>
      <c r="R636" t="n">
        <v>0.2073</v>
      </c>
      <c r="S636">
        <f>IMAGE("https://mitra.stanford.edu/kundaje/oak/projects/neuro-variants/variant_position/credible/roussos_2024/variant_figures/roussos_2024.childhood.Astrocyte/rs11607852_count_position.png",4,220,900)</f>
        <v/>
      </c>
      <c r="T636">
        <f>IMAGE("https://mitra.stanford.edu/kundaje/oak/projects/neuro-variants/variant_position/credible/roussos_2024/variant_figures/roussos_2024.childhood.Astrocyte/rs11607852_profile_position.png",4,220,900)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-0.0547108254</v>
      </c>
      <c r="G637" t="n">
        <v>0.07182297760076869</v>
      </c>
      <c r="H637" t="n">
        <v>0.0309794626901486</v>
      </c>
      <c r="I637" t="n">
        <v>0.02807114536534</v>
      </c>
      <c r="J637" t="n">
        <v>0.4275392518299711</v>
      </c>
      <c r="K637" t="n">
        <v>0.0766228073534929</v>
      </c>
      <c r="L637" t="b">
        <v>0</v>
      </c>
      <c r="M637" t="b">
        <v>0</v>
      </c>
      <c r="N637" t="inlineStr">
        <is>
          <t>ref</t>
        </is>
      </c>
      <c r="O637" t="n">
        <v>-65</v>
      </c>
      <c r="P637" t="n">
        <v>0.006836</v>
      </c>
      <c r="Q637" t="n">
        <v>-55</v>
      </c>
      <c r="R637" t="n">
        <v>0.01611</v>
      </c>
      <c r="S637">
        <f>IMAGE("https://mitra.stanford.edu/kundaje/oak/projects/neuro-variants/variant_position/credible/roussos_2024/variant_figures/roussos_2024.childhood.Astrocyte/rs11605737_count_position.png",4,220,900)</f>
        <v/>
      </c>
      <c r="T637">
        <f>IMAGE("https://mitra.stanford.edu/kundaje/oak/projects/neuro-variants/variant_position/credible/roussos_2024/variant_figures/roussos_2024.childhood.Astrocyte/rs11605737_profile_position.png",4,220,900)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0.1072285275999999</v>
      </c>
      <c r="G638" t="n">
        <v>0.0653977023070817</v>
      </c>
      <c r="H638" t="n">
        <v>0.0282853069134745</v>
      </c>
      <c r="I638" t="n">
        <v>0.0378157218842307</v>
      </c>
      <c r="J638" t="n">
        <v>0.1329913825345576</v>
      </c>
      <c r="K638" t="n">
        <v>0.2730087366088648</v>
      </c>
      <c r="L638" t="b">
        <v>0</v>
      </c>
      <c r="M638" t="b">
        <v>0</v>
      </c>
      <c r="N638" t="inlineStr">
        <is>
          <t>alt</t>
        </is>
      </c>
      <c r="O638" t="n">
        <v>-80</v>
      </c>
      <c r="P638" t="n">
        <v>0.00855</v>
      </c>
      <c r="Q638" t="n">
        <v>95</v>
      </c>
      <c r="R638" t="n">
        <v>0.07153</v>
      </c>
      <c r="S638">
        <f>IMAGE("https://mitra.stanford.edu/kundaje/oak/projects/neuro-variants/variant_position/credible/roussos_2024/variant_figures/roussos_2024.childhood.Astrocyte/rs11606258_count_position.png",4,220,900)</f>
        <v/>
      </c>
      <c r="T638">
        <f>IMAGE("https://mitra.stanford.edu/kundaje/oak/projects/neuro-variants/variant_position/credible/roussos_2024/variant_figures/roussos_2024.childhood.Astrocyte/rs11606258_profile_position.png",4,220,900)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-0.01391002722</v>
      </c>
      <c r="G639" t="n">
        <v>0.6320164225459294</v>
      </c>
      <c r="H639" t="n">
        <v>0.0287433847895379</v>
      </c>
      <c r="I639" t="n">
        <v>0.0359874785081298</v>
      </c>
      <c r="J639" t="n">
        <v>0.0048292917496736</v>
      </c>
      <c r="K639" t="n">
        <v>0.8011326613658201</v>
      </c>
      <c r="L639" t="b">
        <v>0</v>
      </c>
      <c r="M639" t="b">
        <v>0</v>
      </c>
      <c r="N639" t="inlineStr">
        <is>
          <t>ref</t>
        </is>
      </c>
      <c r="O639" t="n">
        <v>-45</v>
      </c>
      <c r="P639" t="n">
        <v>0.01361</v>
      </c>
      <c r="Q639" t="n">
        <v>-35</v>
      </c>
      <c r="R639" t="n">
        <v>0.0863</v>
      </c>
      <c r="S639">
        <f>IMAGE("https://mitra.stanford.edu/kundaje/oak/projects/neuro-variants/variant_position/credible/roussos_2024/variant_figures/roussos_2024.childhood.Astrocyte/rs17532254_count_position.png",4,220,900)</f>
        <v/>
      </c>
      <c r="T639">
        <f>IMAGE("https://mitra.stanford.edu/kundaje/oak/projects/neuro-variants/variant_position/credible/roussos_2024/variant_figures/roussos_2024.childhood.Astrocyte/rs17532254_profile_position.png",4,220,900)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-0.00450728888</v>
      </c>
      <c r="G640" t="n">
        <v>0.6827108033553778</v>
      </c>
      <c r="H640" t="n">
        <v>0.0124034835086937</v>
      </c>
      <c r="I640" t="n">
        <v>0.4812244316137545</v>
      </c>
      <c r="J640" t="n">
        <v>0.0536732995962232</v>
      </c>
      <c r="K640" t="n">
        <v>0.4501810829356747</v>
      </c>
      <c r="L640" t="b">
        <v>0</v>
      </c>
      <c r="M640" t="b">
        <v>0</v>
      </c>
      <c r="N640" t="inlineStr">
        <is>
          <t>ref</t>
        </is>
      </c>
      <c r="O640" t="n">
        <v>95</v>
      </c>
      <c r="P640" t="n">
        <v>0.0321</v>
      </c>
      <c r="Q640" t="n">
        <v>95</v>
      </c>
      <c r="R640" t="n">
        <v>0.1604</v>
      </c>
      <c r="S640">
        <f>IMAGE("https://mitra.stanford.edu/kundaje/oak/projects/neuro-variants/variant_position/credible/roussos_2024/variant_figures/roussos_2024.childhood.Astrocyte/rs11602504_count_position.png",4,220,900)</f>
        <v/>
      </c>
      <c r="T640">
        <f>IMAGE("https://mitra.stanford.edu/kundaje/oak/projects/neuro-variants/variant_position/credible/roussos_2024/variant_figures/roussos_2024.childhood.Astrocyte/rs11602504_profile_position.png",4,220,900)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0.00018597934</v>
      </c>
      <c r="G641" t="n">
        <v>0.6294309862862401</v>
      </c>
      <c r="H641" t="n">
        <v>0.007839230860546401</v>
      </c>
      <c r="I641" t="n">
        <v>0.899766015747949</v>
      </c>
      <c r="J641" t="n">
        <v>0.027538488546938</v>
      </c>
      <c r="K641" t="n">
        <v>0.5421391111802881</v>
      </c>
      <c r="L641" t="b">
        <v>0</v>
      </c>
      <c r="M641" t="b">
        <v>0</v>
      </c>
      <c r="N641" t="inlineStr">
        <is>
          <t>alt</t>
        </is>
      </c>
      <c r="O641" t="n">
        <v>60</v>
      </c>
      <c r="P641" t="n">
        <v>0.00705</v>
      </c>
      <c r="Q641" t="n">
        <v>-100</v>
      </c>
      <c r="R641" t="n">
        <v>0.08057</v>
      </c>
      <c r="S641">
        <f>IMAGE("https://mitra.stanford.edu/kundaje/oak/projects/neuro-variants/variant_position/credible/roussos_2024/variant_figures/roussos_2024.childhood.Astrocyte/rs61904990_count_position.png",4,220,900)</f>
        <v/>
      </c>
      <c r="T641">
        <f>IMAGE("https://mitra.stanford.edu/kundaje/oak/projects/neuro-variants/variant_position/credible/roussos_2024/variant_figures/roussos_2024.childhood.Astrocyte/rs61904990_profile_position.png",4,220,900)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-0.009561077439999999</v>
      </c>
      <c r="G642" t="n">
        <v>0.4611769438753452</v>
      </c>
      <c r="H642" t="n">
        <v>0.0138910871807594</v>
      </c>
      <c r="I642" t="n">
        <v>0.3708015058168233</v>
      </c>
      <c r="J642" t="n">
        <v>0.0575958111027149</v>
      </c>
      <c r="K642" t="n">
        <v>0.4444941755314844</v>
      </c>
      <c r="L642" t="b">
        <v>0</v>
      </c>
      <c r="M642" t="b">
        <v>0</v>
      </c>
      <c r="N642" t="inlineStr">
        <is>
          <t>ref</t>
        </is>
      </c>
      <c r="O642" t="n">
        <v>30</v>
      </c>
      <c r="P642" t="n">
        <v>0.01289</v>
      </c>
      <c r="Q642" t="n">
        <v>75</v>
      </c>
      <c r="R642" t="n">
        <v>0.246</v>
      </c>
      <c r="S642">
        <f>IMAGE("https://mitra.stanford.edu/kundaje/oak/projects/neuro-variants/variant_position/credible/roussos_2024/variant_figures/roussos_2024.childhood.Astrocyte/rs17610915_count_position.png",4,220,900)</f>
        <v/>
      </c>
      <c r="T642">
        <f>IMAGE("https://mitra.stanford.edu/kundaje/oak/projects/neuro-variants/variant_position/credible/roussos_2024/variant_figures/roussos_2024.childhood.Astrocyte/rs17610915_profile_position.png",4,220,900)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0.18449705</v>
      </c>
      <c r="G643" t="n">
        <v>0.0200818202310866</v>
      </c>
      <c r="H643" t="n">
        <v>0.0296550886826412</v>
      </c>
      <c r="I643" t="n">
        <v>0.0317341157035688</v>
      </c>
      <c r="J643" t="n">
        <v>0.089539969316022</v>
      </c>
      <c r="K643" t="n">
        <v>0.3445529370310617</v>
      </c>
      <c r="L643" t="b">
        <v>0</v>
      </c>
      <c r="M643" t="b">
        <v>0</v>
      </c>
      <c r="N643" t="inlineStr">
        <is>
          <t>alt</t>
        </is>
      </c>
      <c r="O643" t="n">
        <v>15</v>
      </c>
      <c r="P643" t="n">
        <v>0.000965</v>
      </c>
      <c r="Q643" t="n">
        <v>50</v>
      </c>
      <c r="R643" t="n">
        <v>0.08545</v>
      </c>
      <c r="S643">
        <f>IMAGE("https://mitra.stanford.edu/kundaje/oak/projects/neuro-variants/variant_position/credible/roussos_2024/variant_figures/roussos_2024.childhood.Astrocyte/rs61904994_count_position.png",4,220,900)</f>
        <v/>
      </c>
      <c r="T643">
        <f>IMAGE("https://mitra.stanford.edu/kundaje/oak/projects/neuro-variants/variant_position/credible/roussos_2024/variant_figures/roussos_2024.childhood.Astrocyte/rs61904994_profile_position.png",4,220,900)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-0.192802695</v>
      </c>
      <c r="G644" t="n">
        <v>0.0239352219713557</v>
      </c>
      <c r="H644" t="n">
        <v>0.0259566527949208</v>
      </c>
      <c r="I644" t="n">
        <v>0.0564884422682828</v>
      </c>
      <c r="J644" t="n">
        <v>0.0070550250738475</v>
      </c>
      <c r="K644" t="n">
        <v>0.7586930336781657</v>
      </c>
      <c r="L644" t="b">
        <v>0</v>
      </c>
      <c r="M644" t="b">
        <v>0</v>
      </c>
      <c r="N644" t="inlineStr">
        <is>
          <t>ref</t>
        </is>
      </c>
      <c r="O644" t="n">
        <v>-55</v>
      </c>
      <c r="P644" t="n">
        <v>0.007286</v>
      </c>
      <c r="Q644" t="n">
        <v>15</v>
      </c>
      <c r="R644" t="n">
        <v>0.011536</v>
      </c>
      <c r="S644">
        <f>IMAGE("https://mitra.stanford.edu/kundaje/oak/projects/neuro-variants/variant_position/credible/roussos_2024/variant_figures/roussos_2024.childhood.Astrocyte/rs11600745_count_position.png",4,220,900)</f>
        <v/>
      </c>
      <c r="T644">
        <f>IMAGE("https://mitra.stanford.edu/kundaje/oak/projects/neuro-variants/variant_position/credible/roussos_2024/variant_figures/roussos_2024.childhood.Astrocyte/rs11600745_profile_position.png",4,220,900)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-0.07296862379999999</v>
      </c>
      <c r="G645" t="n">
        <v>0.1214546465483147</v>
      </c>
      <c r="H645" t="n">
        <v>0.0105929890825547</v>
      </c>
      <c r="I645" t="n">
        <v>0.6604659346240557</v>
      </c>
      <c r="J645" t="n">
        <v>0.0025188340088387</v>
      </c>
      <c r="K645" t="n">
        <v>0.8507601084141798</v>
      </c>
      <c r="L645" t="b">
        <v>0</v>
      </c>
      <c r="M645" t="b">
        <v>0</v>
      </c>
      <c r="N645" t="inlineStr">
        <is>
          <t>ref</t>
        </is>
      </c>
      <c r="O645" t="n">
        <v>100</v>
      </c>
      <c r="P645" t="n">
        <v>0.007275</v>
      </c>
      <c r="Q645" t="n">
        <v>100</v>
      </c>
      <c r="R645" t="n">
        <v>0.1018</v>
      </c>
      <c r="S645">
        <f>IMAGE("https://mitra.stanford.edu/kundaje/oak/projects/neuro-variants/variant_position/credible/roussos_2024/variant_figures/roussos_2024.childhood.Astrocyte/rs73004093_count_position.png",4,220,900)</f>
        <v/>
      </c>
      <c r="T645">
        <f>IMAGE("https://mitra.stanford.edu/kundaje/oak/projects/neuro-variants/variant_position/credible/roussos_2024/variant_figures/roussos_2024.childhood.Astrocyte/rs73004093_profile_position.png",4,220,900)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0.05639381616</v>
      </c>
      <c r="G646" t="n">
        <v>0.2167712660597818</v>
      </c>
      <c r="H646" t="n">
        <v>0.0180759672389653</v>
      </c>
      <c r="I646" t="n">
        <v>0.1824414821917843</v>
      </c>
      <c r="J646" t="n">
        <v>0.0003518734782044</v>
      </c>
      <c r="K646" t="n">
        <v>0.955906336418146</v>
      </c>
      <c r="L646" t="b">
        <v>0</v>
      </c>
      <c r="M646" t="b">
        <v>0</v>
      </c>
      <c r="N646" t="inlineStr">
        <is>
          <t>alt</t>
        </is>
      </c>
      <c r="O646" t="n">
        <v>-95</v>
      </c>
      <c r="P646" t="n">
        <v>0.00983</v>
      </c>
      <c r="Q646" t="n">
        <v>-45</v>
      </c>
      <c r="R646" t="n">
        <v>0.0094</v>
      </c>
      <c r="S646">
        <f>IMAGE("https://mitra.stanford.edu/kundaje/oak/projects/neuro-variants/variant_position/credible/roussos_2024/variant_figures/roussos_2024.childhood.Astrocyte/rs11601890_count_position.png",4,220,900)</f>
        <v/>
      </c>
      <c r="T646">
        <f>IMAGE("https://mitra.stanford.edu/kundaje/oak/projects/neuro-variants/variant_position/credible/roussos_2024/variant_figures/roussos_2024.childhood.Astrocyte/rs11601890_profile_position.png",4,220,900)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0.1095444727999999</v>
      </c>
      <c r="G647" t="n">
        <v>0.0605445472268044</v>
      </c>
      <c r="H647" t="n">
        <v>0.0158583526711758</v>
      </c>
      <c r="I647" t="n">
        <v>0.2612336180165779</v>
      </c>
      <c r="J647" t="n">
        <v>0.0162136581865921</v>
      </c>
      <c r="K647" t="n">
        <v>0.6348114215769913</v>
      </c>
      <c r="L647" t="b">
        <v>0</v>
      </c>
      <c r="M647" t="b">
        <v>0</v>
      </c>
      <c r="N647" t="inlineStr">
        <is>
          <t>alt</t>
        </is>
      </c>
      <c r="O647" t="n">
        <v>-50</v>
      </c>
      <c r="P647" t="n">
        <v>0.00248</v>
      </c>
      <c r="Q647" t="n">
        <v>100</v>
      </c>
      <c r="R647" t="n">
        <v>0.1406</v>
      </c>
      <c r="S647">
        <f>IMAGE("https://mitra.stanford.edu/kundaje/oak/projects/neuro-variants/variant_position/credible/roussos_2024/variant_figures/roussos_2024.childhood.Astrocyte/rs11601548_count_position.png",4,220,900)</f>
        <v/>
      </c>
      <c r="T647">
        <f>IMAGE("https://mitra.stanford.edu/kundaje/oak/projects/neuro-variants/variant_position/credible/roussos_2024/variant_figures/roussos_2024.childhood.Astrocyte/rs11601548_profile_position.png",4,220,900)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-0.0490397829999999</v>
      </c>
      <c r="G648" t="n">
        <v>0.2459403919766513</v>
      </c>
      <c r="H648" t="n">
        <v>0.0138005197234982</v>
      </c>
      <c r="I648" t="n">
        <v>0.3736298891283892</v>
      </c>
      <c r="J648" t="n">
        <v>0.0239854060284093</v>
      </c>
      <c r="K648" t="n">
        <v>0.5746103238356861</v>
      </c>
      <c r="L648" t="b">
        <v>0</v>
      </c>
      <c r="M648" t="b">
        <v>0</v>
      </c>
      <c r="N648" t="inlineStr">
        <is>
          <t>ref</t>
        </is>
      </c>
      <c r="O648" t="n">
        <v>30</v>
      </c>
      <c r="P648" t="n">
        <v>0.001003</v>
      </c>
      <c r="Q648" t="n">
        <v>5</v>
      </c>
      <c r="R648" t="n">
        <v>0.03137</v>
      </c>
      <c r="S648">
        <f>IMAGE("https://mitra.stanford.edu/kundaje/oak/projects/neuro-variants/variant_position/credible/roussos_2024/variant_figures/roussos_2024.childhood.Astrocyte/rs11607747_count_position.png",4,220,900)</f>
        <v/>
      </c>
      <c r="T648">
        <f>IMAGE("https://mitra.stanford.edu/kundaje/oak/projects/neuro-variants/variant_position/credible/roussos_2024/variant_figures/roussos_2024.childhood.Astrocyte/rs11607747_profile_position.png",4,220,900)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-0.054123637</v>
      </c>
      <c r="G649" t="n">
        <v>0.1578506161317366</v>
      </c>
      <c r="H649" t="n">
        <v>0.016647026527267</v>
      </c>
      <c r="I649" t="n">
        <v>0.2208324858544909</v>
      </c>
      <c r="J649" t="n">
        <v>0.0041431003030233</v>
      </c>
      <c r="K649" t="n">
        <v>0.8056369620513995</v>
      </c>
      <c r="L649" t="b">
        <v>0</v>
      </c>
      <c r="M649" t="b">
        <v>0</v>
      </c>
      <c r="N649" t="inlineStr">
        <is>
          <t>ref</t>
        </is>
      </c>
      <c r="O649" t="n">
        <v>-95</v>
      </c>
      <c r="P649" t="n">
        <v>0.0538</v>
      </c>
      <c r="Q649" t="n">
        <v>40</v>
      </c>
      <c r="R649" t="n">
        <v>0.0509</v>
      </c>
      <c r="S649">
        <f>IMAGE("https://mitra.stanford.edu/kundaje/oak/projects/neuro-variants/variant_position/credible/roussos_2024/variant_figures/roussos_2024.childhood.Astrocyte/rs11603480_count_position.png",4,220,900)</f>
        <v/>
      </c>
      <c r="T649">
        <f>IMAGE("https://mitra.stanford.edu/kundaje/oak/projects/neuro-variants/variant_position/credible/roussos_2024/variant_figures/roussos_2024.childhood.Astrocyte/rs11603480_profile_position.png",4,220,900)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0.02691732552</v>
      </c>
      <c r="G650" t="n">
        <v>0.4191402627958676</v>
      </c>
      <c r="H650" t="n">
        <v>0.0084733255845493</v>
      </c>
      <c r="I650" t="n">
        <v>0.8460618903129564</v>
      </c>
      <c r="J650" t="n">
        <v>0.0073862899101615</v>
      </c>
      <c r="K650" t="n">
        <v>0.730662986976321</v>
      </c>
      <c r="L650" t="b">
        <v>0</v>
      </c>
      <c r="M650" t="b">
        <v>0</v>
      </c>
      <c r="N650" t="inlineStr">
        <is>
          <t>alt</t>
        </is>
      </c>
      <c r="O650" t="n">
        <v>85</v>
      </c>
      <c r="P650" t="n">
        <v>0.011505</v>
      </c>
      <c r="Q650" t="n">
        <v>-75</v>
      </c>
      <c r="R650" t="n">
        <v>0.03687</v>
      </c>
      <c r="S650">
        <f>IMAGE("https://mitra.stanford.edu/kundaje/oak/projects/neuro-variants/variant_position/credible/roussos_2024/variant_figures/roussos_2024.childhood.Astrocyte/rs6590000_count_position.png",4,220,900)</f>
        <v/>
      </c>
      <c r="T650">
        <f>IMAGE("https://mitra.stanford.edu/kundaje/oak/projects/neuro-variants/variant_position/credible/roussos_2024/variant_figures/roussos_2024.childhood.Astrocyte/rs6590000_profile_position.png",4,220,900)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0.0267417945599999</v>
      </c>
      <c r="G651" t="n">
        <v>0.2412168764363881</v>
      </c>
      <c r="H651" t="n">
        <v>0.0112700199270015</v>
      </c>
      <c r="I651" t="n">
        <v>0.583655351856697</v>
      </c>
      <c r="J651" t="n">
        <v>0.0500278598307037</v>
      </c>
      <c r="K651" t="n">
        <v>0.4615797426341825</v>
      </c>
      <c r="L651" t="b">
        <v>0</v>
      </c>
      <c r="M651" t="b">
        <v>0</v>
      </c>
      <c r="N651" t="inlineStr">
        <is>
          <t>alt</t>
        </is>
      </c>
      <c r="O651" t="n">
        <v>-60</v>
      </c>
      <c r="P651" t="n">
        <v>0.003113</v>
      </c>
      <c r="Q651" t="n">
        <v>-65</v>
      </c>
      <c r="R651" t="n">
        <v>0.04407</v>
      </c>
      <c r="S651">
        <f>IMAGE("https://mitra.stanford.edu/kundaje/oak/projects/neuro-variants/variant_position/credible/roussos_2024/variant_figures/roussos_2024.childhood.Astrocyte/rs11219174_count_position.png",4,220,900)</f>
        <v/>
      </c>
      <c r="T651">
        <f>IMAGE("https://mitra.stanford.edu/kundaje/oak/projects/neuro-variants/variant_position/credible/roussos_2024/variant_figures/roussos_2024.childhood.Astrocyte/rs11219174_profile_position.png",4,220,900)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-0.0701596376</v>
      </c>
      <c r="G652" t="n">
        <v>0.1338216122814304</v>
      </c>
      <c r="H652" t="n">
        <v>0.0115869701570623</v>
      </c>
      <c r="I652" t="n">
        <v>0.5597255845567588</v>
      </c>
      <c r="J652" t="n">
        <v>0.008138886980681201</v>
      </c>
      <c r="K652" t="n">
        <v>0.7178433438746769</v>
      </c>
      <c r="L652" t="b">
        <v>0</v>
      </c>
      <c r="M652" t="b">
        <v>0</v>
      </c>
      <c r="N652" t="inlineStr">
        <is>
          <t>ref</t>
        </is>
      </c>
      <c r="O652" t="n">
        <v>90</v>
      </c>
      <c r="P652" t="n">
        <v>0.00508</v>
      </c>
      <c r="Q652" t="n">
        <v>100</v>
      </c>
      <c r="R652" t="n">
        <v>0.005066</v>
      </c>
      <c r="S652">
        <f>IMAGE("https://mitra.stanford.edu/kundaje/oak/projects/neuro-variants/variant_position/credible/roussos_2024/variant_figures/roussos_2024.childhood.Astrocyte/rs11601260_count_position.png",4,220,900)</f>
        <v/>
      </c>
      <c r="T652">
        <f>IMAGE("https://mitra.stanford.edu/kundaje/oak/projects/neuro-variants/variant_position/credible/roussos_2024/variant_figures/roussos_2024.childhood.Astrocyte/rs11601260_profile_position.png",4,220,900)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0.0061828807599999</v>
      </c>
      <c r="G653" t="n">
        <v>0.8191679238489544</v>
      </c>
      <c r="H653" t="n">
        <v>0.008938245616396501</v>
      </c>
      <c r="I653" t="n">
        <v>0.8178997273258312</v>
      </c>
      <c r="J653" t="n">
        <v>0.0034363002144824</v>
      </c>
      <c r="K653" t="n">
        <v>0.8136250516548075</v>
      </c>
      <c r="L653" t="b">
        <v>0</v>
      </c>
      <c r="M653" t="b">
        <v>0</v>
      </c>
      <c r="N653" t="inlineStr">
        <is>
          <t>alt</t>
        </is>
      </c>
      <c r="O653" t="n">
        <v>-20</v>
      </c>
      <c r="P653" t="n">
        <v>0.001507</v>
      </c>
      <c r="Q653" t="n">
        <v>95</v>
      </c>
      <c r="R653" t="n">
        <v>0.12134</v>
      </c>
      <c r="S653">
        <f>IMAGE("https://mitra.stanford.edu/kundaje/oak/projects/neuro-variants/variant_position/credible/roussos_2024/variant_figures/roussos_2024.childhood.Astrocyte/rs111454416_count_position.png",4,220,900)</f>
        <v/>
      </c>
      <c r="T653">
        <f>IMAGE("https://mitra.stanford.edu/kundaje/oak/projects/neuro-variants/variant_position/credible/roussos_2024/variant_figures/roussos_2024.childhood.Astrocyte/rs111454416_profile_position.png",4,220,900)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0.0216864433999999</v>
      </c>
      <c r="G654" t="n">
        <v>0.4913237361935971</v>
      </c>
      <c r="H654" t="n">
        <v>0.0435455327916643</v>
      </c>
      <c r="I654" t="n">
        <v>0.0068499283888331</v>
      </c>
      <c r="J654" t="n">
        <v>0.0087495134070664</v>
      </c>
      <c r="K654" t="n">
        <v>0.7024614276996858</v>
      </c>
      <c r="L654" t="b">
        <v>0</v>
      </c>
      <c r="M654" t="b">
        <v>0</v>
      </c>
      <c r="N654" t="inlineStr">
        <is>
          <t>alt</t>
        </is>
      </c>
      <c r="O654" t="n">
        <v>30</v>
      </c>
      <c r="P654" t="n">
        <v>0.002777</v>
      </c>
      <c r="Q654" t="n">
        <v>65</v>
      </c>
      <c r="R654" t="n">
        <v>0.03424</v>
      </c>
      <c r="S654">
        <f>IMAGE("https://mitra.stanford.edu/kundaje/oak/projects/neuro-variants/variant_position/credible/roussos_2024/variant_figures/roussos_2024.childhood.Astrocyte/rs2212756_count_position.png",4,220,900)</f>
        <v/>
      </c>
      <c r="T654">
        <f>IMAGE("https://mitra.stanford.edu/kundaje/oak/projects/neuro-variants/variant_position/credible/roussos_2024/variant_figures/roussos_2024.childhood.Astrocyte/rs2212756_profile_position.png",4,220,900)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-0.1875637279999999</v>
      </c>
      <c r="G655" t="n">
        <v>0.01919517869033</v>
      </c>
      <c r="H655" t="n">
        <v>0.0147884282329432</v>
      </c>
      <c r="I655" t="n">
        <v>0.3140470757393626</v>
      </c>
      <c r="J655" t="n">
        <v>0.0170662453344324</v>
      </c>
      <c r="K655" t="n">
        <v>0.6388174648065562</v>
      </c>
      <c r="L655" t="b">
        <v>1</v>
      </c>
      <c r="M655" t="b">
        <v>0</v>
      </c>
      <c r="N655" t="inlineStr">
        <is>
          <t>ref</t>
        </is>
      </c>
      <c r="O655" t="n">
        <v>-40</v>
      </c>
      <c r="P655" t="n">
        <v>0.004288</v>
      </c>
      <c r="Q655" t="n">
        <v>-40</v>
      </c>
      <c r="R655" t="n">
        <v>0.0735</v>
      </c>
      <c r="S655">
        <f>IMAGE("https://mitra.stanford.edu/kundaje/oak/projects/neuro-variants/variant_position/credible/roussos_2024/variant_figures/roussos_2024.childhood.Astrocyte/rs1942660_count_position.png",4,220,900)</f>
        <v/>
      </c>
      <c r="T655">
        <f>IMAGE("https://mitra.stanford.edu/kundaje/oak/projects/neuro-variants/variant_position/credible/roussos_2024/variant_figures/roussos_2024.childhood.Astrocyte/rs1942660_profile_position.png",4,220,900)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0.003101827788</v>
      </c>
      <c r="G656" t="n">
        <v>0.8322373895629709</v>
      </c>
      <c r="H656" t="n">
        <v>0.0335006885404804</v>
      </c>
      <c r="I656" t="n">
        <v>0.0193997639876557</v>
      </c>
      <c r="J656" t="n">
        <v>0.009265492737361899</v>
      </c>
      <c r="K656" t="n">
        <v>0.6987385921092325</v>
      </c>
      <c r="L656" t="b">
        <v>0</v>
      </c>
      <c r="M656" t="b">
        <v>0</v>
      </c>
      <c r="N656" t="inlineStr">
        <is>
          <t>alt</t>
        </is>
      </c>
      <c r="O656" t="n">
        <v>40</v>
      </c>
      <c r="P656" t="n">
        <v>0.004105</v>
      </c>
      <c r="Q656" t="n">
        <v>-100</v>
      </c>
      <c r="R656" t="n">
        <v>0.1868</v>
      </c>
      <c r="S656">
        <f>IMAGE("https://mitra.stanford.edu/kundaje/oak/projects/neuro-variants/variant_position/credible/roussos_2024/variant_figures/roussos_2024.childhood.Astrocyte/rs6590093_count_position.png",4,220,900)</f>
        <v/>
      </c>
      <c r="T656">
        <f>IMAGE("https://mitra.stanford.edu/kundaje/oak/projects/neuro-variants/variant_position/credible/roussos_2024/variant_figures/roussos_2024.childhood.Astrocyte/rs6590093_profile_position.png",4,220,900)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0.0552972836</v>
      </c>
      <c r="G657" t="n">
        <v>0.1861505827892588</v>
      </c>
      <c r="H657" t="n">
        <v>0.0120910069352965</v>
      </c>
      <c r="I657" t="n">
        <v>0.5069289835324825</v>
      </c>
      <c r="J657" t="n">
        <v>0.0010014273392716</v>
      </c>
      <c r="K657" t="n">
        <v>0.9050237166626176</v>
      </c>
      <c r="L657" t="b">
        <v>0</v>
      </c>
      <c r="M657" t="b">
        <v>0</v>
      </c>
      <c r="N657" t="inlineStr">
        <is>
          <t>alt</t>
        </is>
      </c>
      <c r="O657" t="n">
        <v>0</v>
      </c>
      <c r="P657" t="n">
        <v>0</v>
      </c>
      <c r="Q657" t="n">
        <v>15</v>
      </c>
      <c r="R657" t="n">
        <v>0.0492</v>
      </c>
      <c r="S657">
        <f>IMAGE("https://mitra.stanford.edu/kundaje/oak/projects/neuro-variants/variant_position/credible/roussos_2024/variant_figures/roussos_2024.childhood.Astrocyte/rs11601322_count_position.png",4,220,900)</f>
        <v/>
      </c>
      <c r="T657">
        <f>IMAGE("https://mitra.stanford.edu/kundaje/oak/projects/neuro-variants/variant_position/credible/roussos_2024/variant_figures/roussos_2024.childhood.Astrocyte/rs11601322_profile_position.png",4,220,900)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-0.018335585282</v>
      </c>
      <c r="G658" t="n">
        <v>0.5662680279459106</v>
      </c>
      <c r="H658" t="n">
        <v>0.034560497066906</v>
      </c>
      <c r="I658" t="n">
        <v>0.0171782740522791</v>
      </c>
      <c r="J658" t="n">
        <v>0.0074649080625586</v>
      </c>
      <c r="K658" t="n">
        <v>0.7328322987770842</v>
      </c>
      <c r="L658" t="b">
        <v>0</v>
      </c>
      <c r="M658" t="b">
        <v>0</v>
      </c>
      <c r="N658" t="inlineStr">
        <is>
          <t>ref</t>
        </is>
      </c>
      <c r="O658" t="n">
        <v>-30</v>
      </c>
      <c r="P658" t="n">
        <v>0.000927</v>
      </c>
      <c r="Q658" t="n">
        <v>-95</v>
      </c>
      <c r="R658" t="n">
        <v>0.09032999999999999</v>
      </c>
      <c r="S658">
        <f>IMAGE("https://mitra.stanford.edu/kundaje/oak/projects/neuro-variants/variant_position/credible/roussos_2024/variant_figures/roussos_2024.childhood.Astrocyte/rs7938753_count_position.png",4,220,900)</f>
        <v/>
      </c>
      <c r="T658">
        <f>IMAGE("https://mitra.stanford.edu/kundaje/oak/projects/neuro-variants/variant_position/credible/roussos_2024/variant_figures/roussos_2024.childhood.Astrocyte/rs7938753_profile_position.png",4,220,900)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-0.0288458608399999</v>
      </c>
      <c r="G659" t="n">
        <v>0.4147143313487429</v>
      </c>
      <c r="H659" t="n">
        <v>0.048404742513525</v>
      </c>
      <c r="I659" t="n">
        <v>0.0045624182544147</v>
      </c>
      <c r="J659" t="n">
        <v>0.0373962889178936</v>
      </c>
      <c r="K659" t="n">
        <v>0.4990890841680752</v>
      </c>
      <c r="L659" t="b">
        <v>1</v>
      </c>
      <c r="M659" t="b">
        <v>0</v>
      </c>
      <c r="N659" t="inlineStr">
        <is>
          <t>ref</t>
        </is>
      </c>
      <c r="O659" t="n">
        <v>-80</v>
      </c>
      <c r="P659" t="n">
        <v>0.00932</v>
      </c>
      <c r="Q659" t="n">
        <v>100</v>
      </c>
      <c r="R659" t="n">
        <v>0.0696</v>
      </c>
      <c r="S659">
        <f>IMAGE("https://mitra.stanford.edu/kundaje/oak/projects/neuro-variants/variant_position/credible/roussos_2024/variant_figures/roussos_2024.childhood.Astrocyte/rs35274053_count_position.png",4,220,900)</f>
        <v/>
      </c>
      <c r="T659">
        <f>IMAGE("https://mitra.stanford.edu/kundaje/oak/projects/neuro-variants/variant_position/credible/roussos_2024/variant_figures/roussos_2024.childhood.Astrocyte/rs35274053_profile_position.png",4,220,900)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-0.1435919984199999</v>
      </c>
      <c r="G660" t="n">
        <v>0.0473551677224686</v>
      </c>
      <c r="H660" t="n">
        <v>0.0184026562953874</v>
      </c>
      <c r="I660" t="n">
        <v>0.1743798210647155</v>
      </c>
      <c r="J660" t="n">
        <v>0.2238777831207589</v>
      </c>
      <c r="K660" t="n">
        <v>0.1812506643373481</v>
      </c>
      <c r="L660" t="b">
        <v>0</v>
      </c>
      <c r="M660" t="b">
        <v>0</v>
      </c>
      <c r="N660" t="inlineStr">
        <is>
          <t>ref</t>
        </is>
      </c>
      <c r="O660" t="n">
        <v>-15</v>
      </c>
      <c r="P660" t="n">
        <v>0.002289</v>
      </c>
      <c r="Q660" t="n">
        <v>-20</v>
      </c>
      <c r="R660" t="n">
        <v>0.063</v>
      </c>
      <c r="S660">
        <f>IMAGE("https://mitra.stanford.edu/kundaje/oak/projects/neuro-variants/variant_position/credible/roussos_2024/variant_figures/roussos_2024.childhood.Astrocyte/rs10791102_count_position.png",4,220,900)</f>
        <v/>
      </c>
      <c r="T660">
        <f>IMAGE("https://mitra.stanford.edu/kundaje/oak/projects/neuro-variants/variant_position/credible/roussos_2024/variant_figures/roussos_2024.childhood.Astrocyte/rs10791102_profile_position.png",4,220,900)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-0.09500979</v>
      </c>
      <c r="G661" t="n">
        <v>0.07960325513862559</v>
      </c>
      <c r="H661" t="n">
        <v>0.0170664732485367</v>
      </c>
      <c r="I661" t="n">
        <v>0.2090734823322701</v>
      </c>
      <c r="J661" t="n">
        <v>0.0427186615068733</v>
      </c>
      <c r="K661" t="n">
        <v>0.4768175929223984</v>
      </c>
      <c r="L661" t="b">
        <v>0</v>
      </c>
      <c r="M661" t="b">
        <v>0</v>
      </c>
      <c r="N661" t="inlineStr">
        <is>
          <t>ref</t>
        </is>
      </c>
      <c r="O661" t="n">
        <v>55</v>
      </c>
      <c r="P661" t="n">
        <v>0.006836</v>
      </c>
      <c r="Q661" t="n">
        <v>55</v>
      </c>
      <c r="R661" t="n">
        <v>0.02531</v>
      </c>
      <c r="S661">
        <f>IMAGE("https://mitra.stanford.edu/kundaje/oak/projects/neuro-variants/variant_position/credible/roussos_2024/variant_figures/roussos_2024.childhood.Astrocyte/rs10894286_count_position.png",4,220,900)</f>
        <v/>
      </c>
      <c r="T661">
        <f>IMAGE("https://mitra.stanford.edu/kundaje/oak/projects/neuro-variants/variant_position/credible/roussos_2024/variant_figures/roussos_2024.childhood.Astrocyte/rs10894286_profile_position.png",4,220,900)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-0.108691786</v>
      </c>
      <c r="G662" t="n">
        <v>0.0648399402467164</v>
      </c>
      <c r="H662" t="n">
        <v>0.021448075363225</v>
      </c>
      <c r="I662" t="n">
        <v>0.1048769178631073</v>
      </c>
      <c r="J662" t="n">
        <v>0.0030309969239693</v>
      </c>
      <c r="K662" t="n">
        <v>0.8296746152086789</v>
      </c>
      <c r="L662" t="b">
        <v>0</v>
      </c>
      <c r="M662" t="b">
        <v>0</v>
      </c>
      <c r="N662" t="inlineStr">
        <is>
          <t>ref</t>
        </is>
      </c>
      <c r="O662" t="n">
        <v>65</v>
      </c>
      <c r="P662" t="n">
        <v>0.005478</v>
      </c>
      <c r="Q662" t="n">
        <v>-95</v>
      </c>
      <c r="R662" t="n">
        <v>0.0747</v>
      </c>
      <c r="S662">
        <f>IMAGE("https://mitra.stanford.edu/kundaje/oak/projects/neuro-variants/variant_position/credible/roussos_2024/variant_figures/roussos_2024.childhood.Astrocyte/rs11222406_count_position.png",4,220,900)</f>
        <v/>
      </c>
      <c r="T662">
        <f>IMAGE("https://mitra.stanford.edu/kundaje/oak/projects/neuro-variants/variant_position/credible/roussos_2024/variant_figures/roussos_2024.childhood.Astrocyte/rs11222406_profile_position.png",4,220,900)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-0.00211622636</v>
      </c>
      <c r="G663" t="n">
        <v>0.5603161902879967</v>
      </c>
      <c r="H663" t="n">
        <v>0.0259866483028917</v>
      </c>
      <c r="I663" t="n">
        <v>0.0513255778214502</v>
      </c>
      <c r="J663" t="n">
        <v>0.0017616572401211</v>
      </c>
      <c r="K663" t="n">
        <v>0.8672423790228329</v>
      </c>
      <c r="L663" t="b">
        <v>0</v>
      </c>
      <c r="M663" t="b">
        <v>0</v>
      </c>
      <c r="N663" t="inlineStr">
        <is>
          <t>ref</t>
        </is>
      </c>
      <c r="O663" t="n">
        <v>45</v>
      </c>
      <c r="P663" t="n">
        <v>0.009544</v>
      </c>
      <c r="Q663" t="n">
        <v>-95</v>
      </c>
      <c r="R663" t="n">
        <v>0.03076</v>
      </c>
      <c r="S663">
        <f>IMAGE("https://mitra.stanford.edu/kundaje/oak/projects/neuro-variants/variant_position/credible/roussos_2024/variant_figures/roussos_2024.childhood.Astrocyte/rs10894307_count_position.png",4,220,900)</f>
        <v/>
      </c>
      <c r="T663">
        <f>IMAGE("https://mitra.stanford.edu/kundaje/oak/projects/neuro-variants/variant_position/credible/roussos_2024/variant_figures/roussos_2024.childhood.Astrocyte/rs10894307_profile_position.png",4,220,900)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-0.00247805906</v>
      </c>
      <c r="G664" t="n">
        <v>0.9307198318987044</v>
      </c>
      <c r="H664" t="n">
        <v>0.0202774081957739</v>
      </c>
      <c r="I664" t="n">
        <v>0.1204146193936927</v>
      </c>
      <c r="J664" t="n">
        <v>0.0024005251387266</v>
      </c>
      <c r="K664" t="n">
        <v>0.8545460879889922</v>
      </c>
      <c r="L664" t="b">
        <v>0</v>
      </c>
      <c r="M664" t="b">
        <v>0</v>
      </c>
      <c r="N664" t="inlineStr">
        <is>
          <t>ref</t>
        </is>
      </c>
      <c r="O664" t="n">
        <v>80</v>
      </c>
      <c r="P664" t="n">
        <v>0.03238</v>
      </c>
      <c r="Q664" t="n">
        <v>-100</v>
      </c>
      <c r="R664" t="n">
        <v>0.05685</v>
      </c>
      <c r="S664">
        <f>IMAGE("https://mitra.stanford.edu/kundaje/oak/projects/neuro-variants/variant_position/credible/roussos_2024/variant_figures/roussos_2024.childhood.Astrocyte/rs10894308_count_position.png",4,220,900)</f>
        <v/>
      </c>
      <c r="T664">
        <f>IMAGE("https://mitra.stanford.edu/kundaje/oak/projects/neuro-variants/variant_position/credible/roussos_2024/variant_figures/roussos_2024.childhood.Astrocyte/rs10894308_profile_position.png",4,220,900)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-0.0403383976</v>
      </c>
      <c r="G665" t="n">
        <v>0.2965648339961134</v>
      </c>
      <c r="H665" t="n">
        <v>0.0122542624381975</v>
      </c>
      <c r="I665" t="n">
        <v>0.495099021135631</v>
      </c>
      <c r="J665" t="n">
        <v>0.007938143543007099</v>
      </c>
      <c r="K665" t="n">
        <v>0.7159501895790267</v>
      </c>
      <c r="L665" t="b">
        <v>0</v>
      </c>
      <c r="M665" t="b">
        <v>0</v>
      </c>
      <c r="N665" t="inlineStr">
        <is>
          <t>ref</t>
        </is>
      </c>
      <c r="O665" t="n">
        <v>70</v>
      </c>
      <c r="P665" t="n">
        <v>0.002577</v>
      </c>
      <c r="Q665" t="n">
        <v>-100</v>
      </c>
      <c r="R665" t="n">
        <v>0.1105</v>
      </c>
      <c r="S665">
        <f>IMAGE("https://mitra.stanford.edu/kundaje/oak/projects/neuro-variants/variant_position/credible/roussos_2024/variant_figures/roussos_2024.childhood.Astrocyte/rs74349870_count_position.png",4,220,900)</f>
        <v/>
      </c>
      <c r="T665">
        <f>IMAGE("https://mitra.stanford.edu/kundaje/oak/projects/neuro-variants/variant_position/credible/roussos_2024/variant_figures/roussos_2024.childhood.Astrocyte/rs74349870_profile_position.png",4,220,900)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-0.0212294418</v>
      </c>
      <c r="G666" t="n">
        <v>0.5143215348266934</v>
      </c>
      <c r="H666" t="n">
        <v>0.0415772728900764</v>
      </c>
      <c r="I666" t="n">
        <v>0.0083397478131797</v>
      </c>
      <c r="J666" t="n">
        <v>0.0048041034095852</v>
      </c>
      <c r="K666" t="n">
        <v>0.7917028520315714</v>
      </c>
      <c r="L666" t="b">
        <v>0</v>
      </c>
      <c r="M666" t="b">
        <v>0</v>
      </c>
      <c r="N666" t="inlineStr">
        <is>
          <t>ref</t>
        </is>
      </c>
      <c r="O666" t="n">
        <v>100</v>
      </c>
      <c r="P666" t="n">
        <v>0.00586</v>
      </c>
      <c r="Q666" t="n">
        <v>95</v>
      </c>
      <c r="R666" t="n">
        <v>0.11334</v>
      </c>
      <c r="S666">
        <f>IMAGE("https://mitra.stanford.edu/kundaje/oak/projects/neuro-variants/variant_position/credible/roussos_2024/variant_figures/roussos_2024.childhood.Astrocyte/rs540409_count_position.png",4,220,900)</f>
        <v/>
      </c>
      <c r="T666">
        <f>IMAGE("https://mitra.stanford.edu/kundaje/oak/projects/neuro-variants/variant_position/credible/roussos_2024/variant_figures/roussos_2024.childhood.Astrocyte/rs540409_profile_position.png",4,220,900)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0.0783207099999999</v>
      </c>
      <c r="G667" t="n">
        <v>0.1171351808537636</v>
      </c>
      <c r="H667" t="n">
        <v>0.0170020597165573</v>
      </c>
      <c r="I667" t="n">
        <v>0.2124317646698968</v>
      </c>
      <c r="J667" t="n">
        <v>0.4358552204743041</v>
      </c>
      <c r="K667" t="n">
        <v>0.0722882655225319</v>
      </c>
      <c r="L667" t="b">
        <v>0</v>
      </c>
      <c r="M667" t="b">
        <v>0</v>
      </c>
      <c r="N667" t="inlineStr">
        <is>
          <t>alt</t>
        </is>
      </c>
      <c r="O667" t="n">
        <v>90</v>
      </c>
      <c r="P667" t="n">
        <v>0.014114</v>
      </c>
      <c r="Q667" t="n">
        <v>90</v>
      </c>
      <c r="R667" t="n">
        <v>0.2202</v>
      </c>
      <c r="S667">
        <f>IMAGE("https://mitra.stanford.edu/kundaje/oak/projects/neuro-variants/variant_position/credible/roussos_2024/variant_figures/roussos_2024.childhood.Astrocyte/rs407056_count_position.png",4,220,900)</f>
        <v/>
      </c>
      <c r="T667">
        <f>IMAGE("https://mitra.stanford.edu/kundaje/oak/projects/neuro-variants/variant_position/credible/roussos_2024/variant_figures/roussos_2024.childhood.Astrocyte/rs407056_profile_position.png",4,220,900)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0.1114980939999999</v>
      </c>
      <c r="G668" t="n">
        <v>0.0559466369621561</v>
      </c>
      <c r="H668" t="n">
        <v>0.0182362320778666</v>
      </c>
      <c r="I668" t="n">
        <v>0.1706154101694987</v>
      </c>
      <c r="J668" t="n">
        <v>0.4160587117308968</v>
      </c>
      <c r="K668" t="n">
        <v>0.0814410065776779</v>
      </c>
      <c r="L668" t="b">
        <v>0</v>
      </c>
      <c r="M668" t="b">
        <v>0</v>
      </c>
      <c r="N668" t="inlineStr">
        <is>
          <t>alt</t>
        </is>
      </c>
      <c r="O668" t="n">
        <v>-50</v>
      </c>
      <c r="P668" t="n">
        <v>0.007263</v>
      </c>
      <c r="Q668" t="n">
        <v>-50</v>
      </c>
      <c r="R668" t="n">
        <v>0.1353</v>
      </c>
      <c r="S668">
        <f>IMAGE("https://mitra.stanford.edu/kundaje/oak/projects/neuro-variants/variant_position/credible/roussos_2024/variant_figures/roussos_2024.childhood.Astrocyte/rs408376_count_position.png",4,220,900)</f>
        <v/>
      </c>
      <c r="T668">
        <f>IMAGE("https://mitra.stanford.edu/kundaje/oak/projects/neuro-variants/variant_position/credible/roussos_2024/variant_figures/roussos_2024.childhood.Astrocyte/rs408376_profile_position.png",4,220,900)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0.009105510840000001</v>
      </c>
      <c r="G669" t="n">
        <v>0.7291291766048675</v>
      </c>
      <c r="H669" t="n">
        <v>0.0058715000038214</v>
      </c>
      <c r="I669" t="n">
        <v>0.993005939589228</v>
      </c>
      <c r="J669" t="n">
        <v>0.0039675452054375</v>
      </c>
      <c r="K669" t="n">
        <v>0.8019763224518459</v>
      </c>
      <c r="L669" t="b">
        <v>0</v>
      </c>
      <c r="M669" t="b">
        <v>0</v>
      </c>
      <c r="N669" t="inlineStr">
        <is>
          <t>alt</t>
        </is>
      </c>
      <c r="O669" t="n">
        <v>-80</v>
      </c>
      <c r="P669" t="n">
        <v>0.01236</v>
      </c>
      <c r="Q669" t="n">
        <v>-100</v>
      </c>
      <c r="R669" t="n">
        <v>0.1547</v>
      </c>
      <c r="S669">
        <f>IMAGE("https://mitra.stanford.edu/kundaje/oak/projects/neuro-variants/variant_position/credible/roussos_2024/variant_figures/roussos_2024.childhood.Astrocyte/rs12279734_count_position.png",4,220,900)</f>
        <v/>
      </c>
      <c r="T669">
        <f>IMAGE("https://mitra.stanford.edu/kundaje/oak/projects/neuro-variants/variant_position/credible/roussos_2024/variant_figures/roussos_2024.childhood.Astrocyte/rs12279734_profile_position.png",4,220,900)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-0.00495268626</v>
      </c>
      <c r="G670" t="n">
        <v>0.7184316959048831</v>
      </c>
      <c r="H670" t="n">
        <v>0.0111389950549536</v>
      </c>
      <c r="I670" t="n">
        <v>0.5906800014824367</v>
      </c>
      <c r="J670" t="n">
        <v>0.0815430529794752</v>
      </c>
      <c r="K670" t="n">
        <v>0.3746224192247721</v>
      </c>
      <c r="L670" t="b">
        <v>0</v>
      </c>
      <c r="M670" t="b">
        <v>0</v>
      </c>
      <c r="N670" t="inlineStr">
        <is>
          <t>ref</t>
        </is>
      </c>
      <c r="O670" t="n">
        <v>-25</v>
      </c>
      <c r="P670" t="n">
        <v>0.000637</v>
      </c>
      <c r="Q670" t="n">
        <v>100</v>
      </c>
      <c r="R670" t="n">
        <v>0.2345</v>
      </c>
      <c r="S670">
        <f>IMAGE("https://mitra.stanford.edu/kundaje/oak/projects/neuro-variants/variant_position/credible/roussos_2024/variant_figures/roussos_2024.childhood.Astrocyte/rs401560_count_position.png",4,220,900)</f>
        <v/>
      </c>
      <c r="T670">
        <f>IMAGE("https://mitra.stanford.edu/kundaje/oak/projects/neuro-variants/variant_position/credible/roussos_2024/variant_figures/roussos_2024.childhood.Astrocyte/rs401560_profile_position.png",4,220,900)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-0.251132684</v>
      </c>
      <c r="G671" t="n">
        <v>0.009420422294730601</v>
      </c>
      <c r="H671" t="n">
        <v>0.0340937155429329</v>
      </c>
      <c r="I671" t="n">
        <v>0.0191428874523466</v>
      </c>
      <c r="J671" t="n">
        <v>0.086779937868761</v>
      </c>
      <c r="K671" t="n">
        <v>0.3661916831739859</v>
      </c>
      <c r="L671" t="b">
        <v>1</v>
      </c>
      <c r="M671" t="b">
        <v>1</v>
      </c>
      <c r="N671" t="inlineStr">
        <is>
          <t>ref</t>
        </is>
      </c>
      <c r="O671" t="n">
        <v>95</v>
      </c>
      <c r="P671" t="n">
        <v>0.04163</v>
      </c>
      <c r="Q671" t="n">
        <v>80</v>
      </c>
      <c r="R671" t="n">
        <v>0.10876</v>
      </c>
      <c r="S671">
        <f>IMAGE("https://mitra.stanford.edu/kundaje/oak/projects/neuro-variants/variant_position/credible/roussos_2024/variant_figures/roussos_2024.childhood.Astrocyte/rs390812_count_position.png",4,220,900)</f>
        <v/>
      </c>
      <c r="T671">
        <f>IMAGE("https://mitra.stanford.edu/kundaje/oak/projects/neuro-variants/variant_position/credible/roussos_2024/variant_figures/roussos_2024.childhood.Astrocyte/rs390812_profile_position.png",4,220,900)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0.0154379777999999</v>
      </c>
      <c r="G672" t="n">
        <v>0.5994402441984213</v>
      </c>
      <c r="H672" t="n">
        <v>0.0213714881144191</v>
      </c>
      <c r="I672" t="n">
        <v>0.1030502829744972</v>
      </c>
      <c r="J672" t="n">
        <v>0.0299397769686977</v>
      </c>
      <c r="K672" t="n">
        <v>0.5417875369195027</v>
      </c>
      <c r="L672" t="b">
        <v>0</v>
      </c>
      <c r="M672" t="b">
        <v>0</v>
      </c>
      <c r="N672" t="inlineStr">
        <is>
          <t>alt</t>
        </is>
      </c>
      <c r="O672" t="n">
        <v>40</v>
      </c>
      <c r="P672" t="n">
        <v>0.00739</v>
      </c>
      <c r="Q672" t="n">
        <v>-55</v>
      </c>
      <c r="R672" t="n">
        <v>0.03607</v>
      </c>
      <c r="S672">
        <f>IMAGE("https://mitra.stanford.edu/kundaje/oak/projects/neuro-variants/variant_position/credible/roussos_2024/variant_figures/roussos_2024.childhood.Astrocyte/rs378523_count_position.png",4,220,900)</f>
        <v/>
      </c>
      <c r="T672">
        <f>IMAGE("https://mitra.stanford.edu/kundaje/oak/projects/neuro-variants/variant_position/credible/roussos_2024/variant_figures/roussos_2024.childhood.Astrocyte/rs378523_profile_position.png",4,220,900)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0.0151864623799999</v>
      </c>
      <c r="G673" t="n">
        <v>0.5253915346902787</v>
      </c>
      <c r="H673" t="n">
        <v>0.0139806941369643</v>
      </c>
      <c r="I673" t="n">
        <v>0.3644859662534055</v>
      </c>
      <c r="J673" t="n">
        <v>0.018894308198423</v>
      </c>
      <c r="K673" t="n">
        <v>0.6120888955863182</v>
      </c>
      <c r="L673" t="b">
        <v>0</v>
      </c>
      <c r="M673" t="b">
        <v>0</v>
      </c>
      <c r="N673" t="inlineStr">
        <is>
          <t>alt</t>
        </is>
      </c>
      <c r="O673" t="n">
        <v>-45</v>
      </c>
      <c r="P673" t="n">
        <v>0.008670000000000001</v>
      </c>
      <c r="Q673" t="n">
        <v>-90</v>
      </c>
      <c r="R673" t="n">
        <v>0.1527</v>
      </c>
      <c r="S673">
        <f>IMAGE("https://mitra.stanford.edu/kundaje/oak/projects/neuro-variants/variant_position/credible/roussos_2024/variant_figures/roussos_2024.childhood.Astrocyte/rs451456_count_position.png",4,220,900)</f>
        <v/>
      </c>
      <c r="T673">
        <f>IMAGE("https://mitra.stanford.edu/kundaje/oak/projects/neuro-variants/variant_position/credible/roussos_2024/variant_figures/roussos_2024.childhood.Astrocyte/rs451456_profile_position.png",4,220,900)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0.111176406</v>
      </c>
      <c r="G674" t="n">
        <v>0.0564476656471058</v>
      </c>
      <c r="H674" t="n">
        <v>0.0238931933882401</v>
      </c>
      <c r="I674" t="n">
        <v>0.07007251274194171</v>
      </c>
      <c r="J674" t="n">
        <v>0.0101127369039713</v>
      </c>
      <c r="K674" t="n">
        <v>0.6923212662469758</v>
      </c>
      <c r="L674" t="b">
        <v>0</v>
      </c>
      <c r="M674" t="b">
        <v>0</v>
      </c>
      <c r="N674" t="inlineStr">
        <is>
          <t>alt</t>
        </is>
      </c>
      <c r="O674" t="n">
        <v>100</v>
      </c>
      <c r="P674" t="n">
        <v>0.002764</v>
      </c>
      <c r="Q674" t="n">
        <v>65</v>
      </c>
      <c r="R674" t="n">
        <v>0.05237</v>
      </c>
      <c r="S674">
        <f>IMAGE("https://mitra.stanford.edu/kundaje/oak/projects/neuro-variants/variant_position/credible/roussos_2024/variant_figures/roussos_2024.childhood.Astrocyte/rs405479_count_position.png",4,220,900)</f>
        <v/>
      </c>
      <c r="T674">
        <f>IMAGE("https://mitra.stanford.edu/kundaje/oak/projects/neuro-variants/variant_position/credible/roussos_2024/variant_figures/roussos_2024.childhood.Astrocyte/rs405479_profile_position.png",4,220,900)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0.0202379254</v>
      </c>
      <c r="G675" t="n">
        <v>0.4807429045308994</v>
      </c>
      <c r="H675" t="n">
        <v>0.0271206651625556</v>
      </c>
      <c r="I675" t="n">
        <v>0.0451777788833011</v>
      </c>
      <c r="J675" t="n">
        <v>0.0148802027279735</v>
      </c>
      <c r="K675" t="n">
        <v>0.6379791252189587</v>
      </c>
      <c r="L675" t="b">
        <v>0</v>
      </c>
      <c r="M675" t="b">
        <v>0</v>
      </c>
      <c r="N675" t="inlineStr">
        <is>
          <t>alt</t>
        </is>
      </c>
      <c r="O675" t="n">
        <v>100</v>
      </c>
      <c r="P675" t="n">
        <v>0.00354</v>
      </c>
      <c r="Q675" t="n">
        <v>100</v>
      </c>
      <c r="R675" t="n">
        <v>0.1317</v>
      </c>
      <c r="S675">
        <f>IMAGE("https://mitra.stanford.edu/kundaje/oak/projects/neuro-variants/variant_position/credible/roussos_2024/variant_figures/roussos_2024.childhood.Astrocyte/rs426913_count_position.png",4,220,900)</f>
        <v/>
      </c>
      <c r="T675">
        <f>IMAGE("https://mitra.stanford.edu/kundaje/oak/projects/neuro-variants/variant_position/credible/roussos_2024/variant_figures/roussos_2024.childhood.Astrocyte/rs426913_profile_position.png",4,220,900)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-0.007999159739999999</v>
      </c>
      <c r="G676" t="n">
        <v>0.7863598638631377</v>
      </c>
      <c r="H676" t="n">
        <v>0.0322046604022681</v>
      </c>
      <c r="I676" t="n">
        <v>0.0224454959986743</v>
      </c>
      <c r="J676" t="n">
        <v>0.0070466289604847</v>
      </c>
      <c r="K676" t="n">
        <v>0.7331118198781602</v>
      </c>
      <c r="L676" t="b">
        <v>0</v>
      </c>
      <c r="M676" t="b">
        <v>0</v>
      </c>
      <c r="N676" t="inlineStr">
        <is>
          <t>ref</t>
        </is>
      </c>
      <c r="O676" t="n">
        <v>70</v>
      </c>
      <c r="P676" t="n">
        <v>0.012665</v>
      </c>
      <c r="Q676" t="n">
        <v>-30</v>
      </c>
      <c r="R676" t="n">
        <v>0.03867</v>
      </c>
      <c r="S676">
        <f>IMAGE("https://mitra.stanford.edu/kundaje/oak/projects/neuro-variants/variant_position/credible/roussos_2024/variant_figures/roussos_2024.childhood.Astrocyte/rs7119976_count_position.png",4,220,900)</f>
        <v/>
      </c>
      <c r="T676">
        <f>IMAGE("https://mitra.stanford.edu/kundaje/oak/projects/neuro-variants/variant_position/credible/roussos_2024/variant_figures/roussos_2024.childhood.Astrocyte/rs7119976_profile_position.png",4,220,900)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0.0299886758</v>
      </c>
      <c r="G677" t="n">
        <v>0.3943696452456367</v>
      </c>
      <c r="H677" t="n">
        <v>0.0192225278592306</v>
      </c>
      <c r="I677" t="n">
        <v>0.143252808711897</v>
      </c>
      <c r="J677" t="n">
        <v>0.0008510605817742</v>
      </c>
      <c r="K677" t="n">
        <v>0.918458434761238</v>
      </c>
      <c r="L677" t="b">
        <v>0</v>
      </c>
      <c r="M677" t="b">
        <v>0</v>
      </c>
      <c r="N677" t="inlineStr">
        <is>
          <t>alt</t>
        </is>
      </c>
      <c r="O677" t="n">
        <v>90</v>
      </c>
      <c r="P677" t="n">
        <v>0.006523</v>
      </c>
      <c r="Q677" t="n">
        <v>15</v>
      </c>
      <c r="R677" t="n">
        <v>0.03009</v>
      </c>
      <c r="S677">
        <f>IMAGE("https://mitra.stanford.edu/kundaje/oak/projects/neuro-variants/variant_position/credible/roussos_2024/variant_figures/roussos_2024.childhood.Astrocyte/rs7106636_count_position.png",4,220,900)</f>
        <v/>
      </c>
      <c r="T677">
        <f>IMAGE("https://mitra.stanford.edu/kundaje/oak/projects/neuro-variants/variant_position/credible/roussos_2024/variant_figures/roussos_2024.childhood.Astrocyte/rs7106636_profile_position.png",4,220,900)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-0.00201238164</v>
      </c>
      <c r="G678" t="n">
        <v>0.6483330385485961</v>
      </c>
      <c r="H678" t="n">
        <v>0.0391020787482038</v>
      </c>
      <c r="I678" t="n">
        <v>0.0109429240198519</v>
      </c>
      <c r="J678" t="n">
        <v>0.0010930213032294</v>
      </c>
      <c r="K678" t="n">
        <v>0.9116228568029844</v>
      </c>
      <c r="L678" t="b">
        <v>0</v>
      </c>
      <c r="M678" t="b">
        <v>0</v>
      </c>
      <c r="N678" t="inlineStr">
        <is>
          <t>ref</t>
        </is>
      </c>
      <c r="O678" t="n">
        <v>-95</v>
      </c>
      <c r="P678" t="n">
        <v>0.01886</v>
      </c>
      <c r="Q678" t="n">
        <v>85</v>
      </c>
      <c r="R678" t="n">
        <v>0.1051</v>
      </c>
      <c r="S678">
        <f>IMAGE("https://mitra.stanford.edu/kundaje/oak/projects/neuro-variants/variant_position/credible/roussos_2024/variant_figures/roussos_2024.childhood.Astrocyte/rs2155540_count_position.png",4,220,900)</f>
        <v/>
      </c>
      <c r="T678">
        <f>IMAGE("https://mitra.stanford.edu/kundaje/oak/projects/neuro-variants/variant_position/credible/roussos_2024/variant_figures/roussos_2024.childhood.Astrocyte/rs2155540_profile_position.png",4,220,900)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0.0027161570199999</v>
      </c>
      <c r="G679" t="n">
        <v>0.6089788531545364</v>
      </c>
      <c r="H679" t="n">
        <v>0.0213167804189162</v>
      </c>
      <c r="I679" t="n">
        <v>0.1019988061935615</v>
      </c>
      <c r="J679" t="n">
        <v>0.008930411485883</v>
      </c>
      <c r="K679" t="n">
        <v>0.7290495175567763</v>
      </c>
      <c r="L679" t="b">
        <v>0</v>
      </c>
      <c r="M679" t="b">
        <v>0</v>
      </c>
      <c r="N679" t="inlineStr">
        <is>
          <t>alt</t>
        </is>
      </c>
      <c r="O679" t="n">
        <v>-90</v>
      </c>
      <c r="P679" t="n">
        <v>0.01439</v>
      </c>
      <c r="Q679" t="n">
        <v>-100</v>
      </c>
      <c r="R679" t="n">
        <v>0.1881</v>
      </c>
      <c r="S679">
        <f>IMAGE("https://mitra.stanford.edu/kundaje/oak/projects/neuro-variants/variant_position/credible/roussos_2024/variant_figures/roussos_2024.childhood.Astrocyte/rs4937706_count_position.png",4,220,900)</f>
        <v/>
      </c>
      <c r="T679">
        <f>IMAGE("https://mitra.stanford.edu/kundaje/oak/projects/neuro-variants/variant_position/credible/roussos_2024/variant_figures/roussos_2024.childhood.Astrocyte/rs4937706_profile_position.png",4,220,900)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0.1631095852</v>
      </c>
      <c r="G680" t="n">
        <v>0.0265621655546235</v>
      </c>
      <c r="H680" t="n">
        <v>0.024393153272206</v>
      </c>
      <c r="I680" t="n">
        <v>0.0662277757307843</v>
      </c>
      <c r="J680" t="n">
        <v>0.2013044507033652</v>
      </c>
      <c r="K680" t="n">
        <v>0.2016924057821625</v>
      </c>
      <c r="L680" t="b">
        <v>0</v>
      </c>
      <c r="M680" t="b">
        <v>0</v>
      </c>
      <c r="N680" t="inlineStr">
        <is>
          <t>alt</t>
        </is>
      </c>
      <c r="O680" t="n">
        <v>50</v>
      </c>
      <c r="P680" t="n">
        <v>0.01437</v>
      </c>
      <c r="Q680" t="n">
        <v>55</v>
      </c>
      <c r="R680" t="n">
        <v>0.2031</v>
      </c>
      <c r="S680">
        <f>IMAGE("https://mitra.stanford.edu/kundaje/oak/projects/neuro-variants/variant_position/credible/roussos_2024/variant_figures/roussos_2024.childhood.Astrocyte/rs4310627_count_position.png",4,220,900)</f>
        <v/>
      </c>
      <c r="T680">
        <f>IMAGE("https://mitra.stanford.edu/kundaje/oak/projects/neuro-variants/variant_position/credible/roussos_2024/variant_figures/roussos_2024.childhood.Astrocyte/rs4310627_profile_position.png",4,220,900)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0.0055480489</v>
      </c>
      <c r="G681" t="n">
        <v>0.7236928841221506</v>
      </c>
      <c r="H681" t="n">
        <v>0.0277640918171078</v>
      </c>
      <c r="I681" t="n">
        <v>0.0393544487645778</v>
      </c>
      <c r="J681" t="n">
        <v>0.0854945692412203</v>
      </c>
      <c r="K681" t="n">
        <v>0.3614154984624804</v>
      </c>
      <c r="L681" t="b">
        <v>0</v>
      </c>
      <c r="M681" t="b">
        <v>0</v>
      </c>
      <c r="N681" t="inlineStr">
        <is>
          <t>alt</t>
        </is>
      </c>
      <c r="O681" t="n">
        <v>30</v>
      </c>
      <c r="P681" t="n">
        <v>0.000601</v>
      </c>
      <c r="Q681" t="n">
        <v>60</v>
      </c>
      <c r="R681" t="n">
        <v>0.1267</v>
      </c>
      <c r="S681">
        <f>IMAGE("https://mitra.stanford.edu/kundaje/oak/projects/neuro-variants/variant_position/credible/roussos_2024/variant_figures/roussos_2024.childhood.Astrocyte/rs1939971_count_position.png",4,220,900)</f>
        <v/>
      </c>
      <c r="T681">
        <f>IMAGE("https://mitra.stanford.edu/kundaje/oak/projects/neuro-variants/variant_position/credible/roussos_2024/variant_figures/roussos_2024.childhood.Astrocyte/rs1939971_profile_position.png",4,220,900)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4.11964800000001e-05</v>
      </c>
      <c r="G682" t="n">
        <v>0.8364636311906359</v>
      </c>
      <c r="H682" t="n">
        <v>0.0159778117322359</v>
      </c>
      <c r="I682" t="n">
        <v>0.2534254009687983</v>
      </c>
      <c r="J682" t="n">
        <v>0.0821048292917496</v>
      </c>
      <c r="K682" t="n">
        <v>0.368986017687522</v>
      </c>
      <c r="L682" t="b">
        <v>0</v>
      </c>
      <c r="M682" t="b">
        <v>0</v>
      </c>
      <c r="N682" t="inlineStr">
        <is>
          <t>alt</t>
        </is>
      </c>
      <c r="O682" t="n">
        <v>-5</v>
      </c>
      <c r="P682" t="n">
        <v>0.0004787</v>
      </c>
      <c r="Q682" t="n">
        <v>50</v>
      </c>
      <c r="R682" t="n">
        <v>0.145</v>
      </c>
      <c r="S682">
        <f>IMAGE("https://mitra.stanford.edu/kundaje/oak/projects/neuro-variants/variant_position/credible/roussos_2024/variant_figures/roussos_2024.childhood.Astrocyte/rs1939970_count_position.png",4,220,900)</f>
        <v/>
      </c>
      <c r="T682">
        <f>IMAGE("https://mitra.stanford.edu/kundaje/oak/projects/neuro-variants/variant_position/credible/roussos_2024/variant_figures/roussos_2024.childhood.Astrocyte/rs1939970_profile_position.png",4,220,900)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-0.0556406595999999</v>
      </c>
      <c r="G683" t="n">
        <v>0.2013352722667171</v>
      </c>
      <c r="H683" t="n">
        <v>0.0133948572476484</v>
      </c>
      <c r="I683" t="n">
        <v>0.400223969683771</v>
      </c>
      <c r="J683" t="n">
        <v>0.0139993741079129</v>
      </c>
      <c r="K683" t="n">
        <v>0.6521824950990383</v>
      </c>
      <c r="L683" t="b">
        <v>0</v>
      </c>
      <c r="M683" t="b">
        <v>0</v>
      </c>
      <c r="N683" t="inlineStr">
        <is>
          <t>ref</t>
        </is>
      </c>
      <c r="O683" t="n">
        <v>30</v>
      </c>
      <c r="P683" t="n">
        <v>0.0004826</v>
      </c>
      <c r="Q683" t="n">
        <v>-100</v>
      </c>
      <c r="R683" t="n">
        <v>0.1229</v>
      </c>
      <c r="S683">
        <f>IMAGE("https://mitra.stanford.edu/kundaje/oak/projects/neuro-variants/variant_position/credible/roussos_2024/variant_figures/roussos_2024.childhood.Astrocyte/rs644487_count_position.png",4,220,900)</f>
        <v/>
      </c>
      <c r="T683">
        <f>IMAGE("https://mitra.stanford.edu/kundaje/oak/projects/neuro-variants/variant_position/credible/roussos_2024/variant_figures/roussos_2024.childhood.Astrocyte/rs644487_profile_position.png",4,220,900)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0.142889544</v>
      </c>
      <c r="G684" t="n">
        <v>0.0394041989047683</v>
      </c>
      <c r="H684" t="n">
        <v>0.0207516302993339</v>
      </c>
      <c r="I684" t="n">
        <v>0.119094112533305</v>
      </c>
      <c r="J684" t="n">
        <v>0.0215444268889346</v>
      </c>
      <c r="K684" t="n">
        <v>0.5814873841178735</v>
      </c>
      <c r="L684" t="b">
        <v>0</v>
      </c>
      <c r="M684" t="b">
        <v>0</v>
      </c>
      <c r="N684" t="inlineStr">
        <is>
          <t>alt</t>
        </is>
      </c>
      <c r="O684" t="n">
        <v>30</v>
      </c>
      <c r="P684" t="n">
        <v>0.001923</v>
      </c>
      <c r="Q684" t="n">
        <v>-100</v>
      </c>
      <c r="R684" t="n">
        <v>0.08203000000000001</v>
      </c>
      <c r="S684">
        <f>IMAGE("https://mitra.stanford.edu/kundaje/oak/projects/neuro-variants/variant_position/credible/roussos_2024/variant_figures/roussos_2024.childhood.Astrocyte/rs644475_count_position.png",4,220,900)</f>
        <v/>
      </c>
      <c r="T684">
        <f>IMAGE("https://mitra.stanford.edu/kundaje/oak/projects/neuro-variants/variant_position/credible/roussos_2024/variant_figures/roussos_2024.childhood.Astrocyte/rs644475_profile_position.png",4,220,900)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0.009029949674000001</v>
      </c>
      <c r="G685" t="n">
        <v>0.747500343729411</v>
      </c>
      <c r="H685" t="n">
        <v>0.0141966382639499</v>
      </c>
      <c r="I685" t="n">
        <v>0.345235128652894</v>
      </c>
      <c r="J685" t="n">
        <v>0.0048094463908161</v>
      </c>
      <c r="K685" t="n">
        <v>0.7835972543131069</v>
      </c>
      <c r="L685" t="b">
        <v>0</v>
      </c>
      <c r="M685" t="b">
        <v>0</v>
      </c>
      <c r="N685" t="inlineStr">
        <is>
          <t>alt</t>
        </is>
      </c>
      <c r="O685" t="n">
        <v>100</v>
      </c>
      <c r="P685" t="n">
        <v>0.02177</v>
      </c>
      <c r="Q685" t="n">
        <v>80</v>
      </c>
      <c r="R685" t="n">
        <v>0.04193</v>
      </c>
      <c r="S685">
        <f>IMAGE("https://mitra.stanford.edu/kundaje/oak/projects/neuro-variants/variant_position/credible/roussos_2024/variant_figures/roussos_2024.childhood.Astrocyte/rs654125_count_position.png",4,220,900)</f>
        <v/>
      </c>
      <c r="T685">
        <f>IMAGE("https://mitra.stanford.edu/kundaje/oak/projects/neuro-variants/variant_position/credible/roussos_2024/variant_figures/roussos_2024.childhood.Astrocyte/rs654125_profile_position.png",4,220,900)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0.0354577674</v>
      </c>
      <c r="G686" t="n">
        <v>0.3230875564262644</v>
      </c>
      <c r="H686" t="n">
        <v>0.0134943387125209</v>
      </c>
      <c r="I686" t="n">
        <v>0.3919965963252403</v>
      </c>
      <c r="J686" t="n">
        <v>0.0019906421500155</v>
      </c>
      <c r="K686" t="n">
        <v>0.8683740034280335</v>
      </c>
      <c r="L686" t="b">
        <v>0</v>
      </c>
      <c r="M686" t="b">
        <v>0</v>
      </c>
      <c r="N686" t="inlineStr">
        <is>
          <t>alt</t>
        </is>
      </c>
      <c r="O686" t="n">
        <v>-70</v>
      </c>
      <c r="P686" t="n">
        <v>0.0038</v>
      </c>
      <c r="Q686" t="n">
        <v>-65</v>
      </c>
      <c r="R686" t="n">
        <v>0.05685</v>
      </c>
      <c r="S686">
        <f>IMAGE("https://mitra.stanford.edu/kundaje/oak/projects/neuro-variants/variant_position/credible/roussos_2024/variant_figures/roussos_2024.childhood.Astrocyte/rs10894572_count_position.png",4,220,900)</f>
        <v/>
      </c>
      <c r="T686">
        <f>IMAGE("https://mitra.stanford.edu/kundaje/oak/projects/neuro-variants/variant_position/credible/roussos_2024/variant_figures/roussos_2024.childhood.Astrocyte/rs10894572_profile_position.png",4,220,900)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-0.0074007658</v>
      </c>
      <c r="G687" t="n">
        <v>0.5614662828426455</v>
      </c>
      <c r="H687" t="n">
        <v>0.0100740298195876</v>
      </c>
      <c r="I687" t="n">
        <v>0.7062199912983044</v>
      </c>
      <c r="J687" t="n">
        <v>0.0045339012159098</v>
      </c>
      <c r="K687" t="n">
        <v>0.7980410014904338</v>
      </c>
      <c r="L687" t="b">
        <v>0</v>
      </c>
      <c r="M687" t="b">
        <v>0</v>
      </c>
      <c r="N687" t="inlineStr">
        <is>
          <t>ref</t>
        </is>
      </c>
      <c r="O687" t="n">
        <v>-45</v>
      </c>
      <c r="P687" t="n">
        <v>0.002232</v>
      </c>
      <c r="Q687" t="n">
        <v>30</v>
      </c>
      <c r="R687" t="n">
        <v>0.04153</v>
      </c>
      <c r="S687">
        <f>IMAGE("https://mitra.stanford.edu/kundaje/oak/projects/neuro-variants/variant_position/credible/roussos_2024/variant_figures/roussos_2024.childhood.Astrocyte/rs639254_count_position.png",4,220,900)</f>
        <v/>
      </c>
      <c r="T687">
        <f>IMAGE("https://mitra.stanford.edu/kundaje/oak/projects/neuro-variants/variant_position/credible/roussos_2024/variant_figures/roussos_2024.childhood.Astrocyte/rs639254_profile_position.png",4,220,900)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-0.03148341032</v>
      </c>
      <c r="G688" t="n">
        <v>0.4031613844139639</v>
      </c>
      <c r="H688" t="n">
        <v>0.0127375171783264</v>
      </c>
      <c r="I688" t="n">
        <v>0.4538828317207066</v>
      </c>
      <c r="J688" t="n">
        <v>0.003413401723493</v>
      </c>
      <c r="K688" t="n">
        <v>0.8164839340599569</v>
      </c>
      <c r="L688" t="b">
        <v>0</v>
      </c>
      <c r="M688" t="b">
        <v>0</v>
      </c>
      <c r="N688" t="inlineStr">
        <is>
          <t>ref</t>
        </is>
      </c>
      <c r="O688" t="n">
        <v>-90</v>
      </c>
      <c r="P688" t="n">
        <v>0.2468</v>
      </c>
      <c r="Q688" t="n">
        <v>-90</v>
      </c>
      <c r="R688" t="n">
        <v>0.116</v>
      </c>
      <c r="S688">
        <f>IMAGE("https://mitra.stanford.edu/kundaje/oak/projects/neuro-variants/variant_position/credible/roussos_2024/variant_figures/roussos_2024.childhood.Astrocyte/rs2508976_count_position.png",4,220,900)</f>
        <v/>
      </c>
      <c r="T688">
        <f>IMAGE("https://mitra.stanford.edu/kundaje/oak/projects/neuro-variants/variant_position/credible/roussos_2024/variant_figures/roussos_2024.childhood.Astrocyte/rs2508976_profile_position.png",4,220,900)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-0.0638239848</v>
      </c>
      <c r="G689" t="n">
        <v>0.1754118735415441</v>
      </c>
      <c r="H689" t="n">
        <v>0.0185914493189984</v>
      </c>
      <c r="I689" t="n">
        <v>0.1589582487326357</v>
      </c>
      <c r="J689" t="n">
        <v>0.08264218054696849</v>
      </c>
      <c r="K689" t="n">
        <v>0.3614794060249288</v>
      </c>
      <c r="L689" t="b">
        <v>0</v>
      </c>
      <c r="M689" t="b">
        <v>0</v>
      </c>
      <c r="N689" t="inlineStr">
        <is>
          <t>ref</t>
        </is>
      </c>
      <c r="O689" t="n">
        <v>-15</v>
      </c>
      <c r="P689" t="n">
        <v>0.0003967</v>
      </c>
      <c r="Q689" t="n">
        <v>-10</v>
      </c>
      <c r="R689" t="n">
        <v>0.006836</v>
      </c>
      <c r="S689">
        <f>IMAGE("https://mitra.stanford.edu/kundaje/oak/projects/neuro-variants/variant_position/credible/roussos_2024/variant_figures/roussos_2024.childhood.Astrocyte/rs2509229_count_position.png",4,220,900)</f>
        <v/>
      </c>
      <c r="T689">
        <f>IMAGE("https://mitra.stanford.edu/kundaje/oak/projects/neuro-variants/variant_position/credible/roussos_2024/variant_figures/roussos_2024.childhood.Astrocyte/rs2509229_profile_position.png",4,220,900)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0.0230982784</v>
      </c>
      <c r="G690" t="n">
        <v>0.4624284346023195</v>
      </c>
      <c r="H690" t="n">
        <v>0.0256536354306701</v>
      </c>
      <c r="I690" t="n">
        <v>0.0546505469785768</v>
      </c>
      <c r="J690" t="n">
        <v>0.0074175845145137</v>
      </c>
      <c r="K690" t="n">
        <v>0.7462626898319427</v>
      </c>
      <c r="L690" t="b">
        <v>0</v>
      </c>
      <c r="M690" t="b">
        <v>0</v>
      </c>
      <c r="N690" t="inlineStr">
        <is>
          <t>alt</t>
        </is>
      </c>
      <c r="O690" t="n">
        <v>-100</v>
      </c>
      <c r="P690" t="n">
        <v>0.007168</v>
      </c>
      <c r="Q690" t="n">
        <v>-100</v>
      </c>
      <c r="R690" t="n">
        <v>0.1089</v>
      </c>
      <c r="S690">
        <f>IMAGE("https://mitra.stanford.edu/kundaje/oak/projects/neuro-variants/variant_position/credible/roussos_2024/variant_figures/roussos_2024.childhood.Astrocyte/rs2509228_count_position.png",4,220,900)</f>
        <v/>
      </c>
      <c r="T690">
        <f>IMAGE("https://mitra.stanford.edu/kundaje/oak/projects/neuro-variants/variant_position/credible/roussos_2024/variant_figures/roussos_2024.childhood.Astrocyte/rs2509228_profile_position.png",4,220,900)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0.021421238</v>
      </c>
      <c r="G691" t="n">
        <v>0.4909512025398699</v>
      </c>
      <c r="H691" t="n">
        <v>0.009212658981049201</v>
      </c>
      <c r="I691" t="n">
        <v>0.7894692608753545</v>
      </c>
      <c r="J691" t="n">
        <v>0.0151626174501766</v>
      </c>
      <c r="K691" t="n">
        <v>0.6429947658085271</v>
      </c>
      <c r="L691" t="b">
        <v>0</v>
      </c>
      <c r="M691" t="b">
        <v>0</v>
      </c>
      <c r="N691" t="inlineStr">
        <is>
          <t>alt</t>
        </is>
      </c>
      <c r="O691" t="n">
        <v>95</v>
      </c>
      <c r="P691" t="n">
        <v>0.01701</v>
      </c>
      <c r="Q691" t="n">
        <v>100</v>
      </c>
      <c r="R691" t="n">
        <v>0.07733</v>
      </c>
      <c r="S691">
        <f>IMAGE("https://mitra.stanford.edu/kundaje/oak/projects/neuro-variants/variant_position/credible/roussos_2024/variant_figures/roussos_2024.childhood.Astrocyte/rs2512706_count_position.png",4,220,900)</f>
        <v/>
      </c>
      <c r="T691">
        <f>IMAGE("https://mitra.stanford.edu/kundaje/oak/projects/neuro-variants/variant_position/credible/roussos_2024/variant_figures/roussos_2024.childhood.Astrocyte/rs2512706_profile_position.png",4,220,900)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-0.0154493132999999</v>
      </c>
      <c r="G692" t="n">
        <v>0.5994765604189287</v>
      </c>
      <c r="H692" t="n">
        <v>0.007620904032049</v>
      </c>
      <c r="I692" t="n">
        <v>0.9342975311889185</v>
      </c>
      <c r="J692" t="n">
        <v>0.0004213322342057</v>
      </c>
      <c r="K692" t="n">
        <v>0.9570824035716088</v>
      </c>
      <c r="L692" t="b">
        <v>0</v>
      </c>
      <c r="M692" t="b">
        <v>0</v>
      </c>
      <c r="N692" t="inlineStr">
        <is>
          <t>ref</t>
        </is>
      </c>
      <c r="O692" t="n">
        <v>-100</v>
      </c>
      <c r="P692" t="n">
        <v>0.0164</v>
      </c>
      <c r="Q692" t="n">
        <v>90</v>
      </c>
      <c r="R692" t="n">
        <v>0.007507</v>
      </c>
      <c r="S692">
        <f>IMAGE("https://mitra.stanford.edu/kundaje/oak/projects/neuro-variants/variant_position/credible/roussos_2024/variant_figures/roussos_2024.childhood.Astrocyte/rs55945016_count_position.png",4,220,900)</f>
        <v/>
      </c>
      <c r="T692">
        <f>IMAGE("https://mitra.stanford.edu/kundaje/oak/projects/neuro-variants/variant_position/credible/roussos_2024/variant_figures/roussos_2024.childhood.Astrocyte/rs55945016_profile_position.png",4,220,900)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-0.12775381</v>
      </c>
      <c r="G693" t="n">
        <v>0.0512176887897671</v>
      </c>
      <c r="H693" t="n">
        <v>0.0245396650466234</v>
      </c>
      <c r="I693" t="n">
        <v>0.0676611088449432</v>
      </c>
      <c r="J693" t="n">
        <v>0.0090281117141046</v>
      </c>
      <c r="K693" t="n">
        <v>0.7339126513635347</v>
      </c>
      <c r="L693" t="b">
        <v>0</v>
      </c>
      <c r="M693" t="b">
        <v>0</v>
      </c>
      <c r="N693" t="inlineStr">
        <is>
          <t>ref</t>
        </is>
      </c>
      <c r="O693" t="n">
        <v>60</v>
      </c>
      <c r="P693" t="n">
        <v>0.002136</v>
      </c>
      <c r="Q693" t="n">
        <v>-100</v>
      </c>
      <c r="R693" t="n">
        <v>0.1065</v>
      </c>
      <c r="S693">
        <f>IMAGE("https://mitra.stanford.edu/kundaje/oak/projects/neuro-variants/variant_position/credible/roussos_2024/variant_figures/roussos_2024.childhood.Astrocyte/rs73035374_count_position.png",4,220,900)</f>
        <v/>
      </c>
      <c r="T693">
        <f>IMAGE("https://mitra.stanford.edu/kundaje/oak/projects/neuro-variants/variant_position/credible/roussos_2024/variant_figures/roussos_2024.childhood.Astrocyte/rs73035374_profile_position.png",4,220,900)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-0.0240493931</v>
      </c>
      <c r="G694" t="n">
        <v>0.4800249037340667</v>
      </c>
      <c r="H694" t="n">
        <v>0.0239039460944439</v>
      </c>
      <c r="I694" t="n">
        <v>0.0695966900192031</v>
      </c>
      <c r="J694" t="n">
        <v>0.005967346751849</v>
      </c>
      <c r="K694" t="n">
        <v>0.7547526106735652</v>
      </c>
      <c r="L694" t="b">
        <v>0</v>
      </c>
      <c r="M694" t="b">
        <v>0</v>
      </c>
      <c r="N694" t="inlineStr">
        <is>
          <t>ref</t>
        </is>
      </c>
      <c r="O694" t="n">
        <v>-30</v>
      </c>
      <c r="P694" t="n">
        <v>0.003601</v>
      </c>
      <c r="Q694" t="n">
        <v>15</v>
      </c>
      <c r="R694" t="n">
        <v>0.01233</v>
      </c>
      <c r="S694">
        <f>IMAGE("https://mitra.stanford.edu/kundaje/oak/projects/neuro-variants/variant_position/credible/roussos_2024/variant_figures/roussos_2024.childhood.Astrocyte/rs6590647_count_position.png",4,220,900)</f>
        <v/>
      </c>
      <c r="T694">
        <f>IMAGE("https://mitra.stanford.edu/kundaje/oak/projects/neuro-variants/variant_position/credible/roussos_2024/variant_figures/roussos_2024.childhood.Astrocyte/rs6590647_profile_position.png",4,220,900)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0.0653049886</v>
      </c>
      <c r="G695" t="n">
        <v>0.1503558174967099</v>
      </c>
      <c r="H695" t="n">
        <v>0.0196950932833927</v>
      </c>
      <c r="I695" t="n">
        <v>0.1349586249441402</v>
      </c>
      <c r="J695" t="n">
        <v>0.1168891636707807</v>
      </c>
      <c r="K695" t="n">
        <v>0.2986934905311408</v>
      </c>
      <c r="L695" t="b">
        <v>0</v>
      </c>
      <c r="M695" t="b">
        <v>0</v>
      </c>
      <c r="N695" t="inlineStr">
        <is>
          <t>alt</t>
        </is>
      </c>
      <c r="O695" t="n">
        <v>100</v>
      </c>
      <c r="P695" t="n">
        <v>0.006073</v>
      </c>
      <c r="Q695" t="n">
        <v>100</v>
      </c>
      <c r="R695" t="n">
        <v>0.09470000000000001</v>
      </c>
      <c r="S695">
        <f>IMAGE("https://mitra.stanford.edu/kundaje/oak/projects/neuro-variants/variant_position/credible/roussos_2024/variant_figures/roussos_2024.childhood.Astrocyte/rs3862599_count_position.png",4,220,900)</f>
        <v/>
      </c>
      <c r="T695">
        <f>IMAGE("https://mitra.stanford.edu/kundaje/oak/projects/neuro-variants/variant_position/credible/roussos_2024/variant_figures/roussos_2024.childhood.Astrocyte/rs3862599_profile_position.png",4,220,900)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-0.0141296619999999</v>
      </c>
      <c r="G696" t="n">
        <v>0.5793813767180324</v>
      </c>
      <c r="H696" t="n">
        <v>0.0241215574759123</v>
      </c>
      <c r="I696" t="n">
        <v>0.06698352895984119</v>
      </c>
      <c r="J696" t="n">
        <v>0.1280903421797836</v>
      </c>
      <c r="K696" t="n">
        <v>0.2889482480285812</v>
      </c>
      <c r="L696" t="b">
        <v>0</v>
      </c>
      <c r="M696" t="b">
        <v>0</v>
      </c>
      <c r="N696" t="inlineStr">
        <is>
          <t>ref</t>
        </is>
      </c>
      <c r="O696" t="n">
        <v>-45</v>
      </c>
      <c r="P696" t="n">
        <v>0.004433</v>
      </c>
      <c r="Q696" t="n">
        <v>-70</v>
      </c>
      <c r="R696" t="n">
        <v>0.2002</v>
      </c>
      <c r="S696">
        <f>IMAGE("https://mitra.stanford.edu/kundaje/oak/projects/neuro-variants/variant_position/credible/roussos_2024/variant_figures/roussos_2024.childhood.Astrocyte/rs3018396_count_position.png",4,220,900)</f>
        <v/>
      </c>
      <c r="T696">
        <f>IMAGE("https://mitra.stanford.edu/kundaje/oak/projects/neuro-variants/variant_position/credible/roussos_2024/variant_figures/roussos_2024.childhood.Astrocyte/rs3018396_profile_position.png",4,220,900)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-0.0249888170799999</v>
      </c>
      <c r="G697" t="n">
        <v>0.450787656304261</v>
      </c>
      <c r="H697" t="n">
        <v>0.009719459427873301</v>
      </c>
      <c r="I697" t="n">
        <v>0.7365254657066991</v>
      </c>
      <c r="J697" t="n">
        <v>0.0028661277888453</v>
      </c>
      <c r="K697" t="n">
        <v>0.8488720348261024</v>
      </c>
      <c r="L697" t="b">
        <v>0</v>
      </c>
      <c r="M697" t="b">
        <v>0</v>
      </c>
      <c r="N697" t="inlineStr">
        <is>
          <t>ref</t>
        </is>
      </c>
      <c r="O697" t="n">
        <v>-100</v>
      </c>
      <c r="P697" t="n">
        <v>0.1089</v>
      </c>
      <c r="Q697" t="n">
        <v>100</v>
      </c>
      <c r="R697" t="n">
        <v>0.03757</v>
      </c>
      <c r="S697">
        <f>IMAGE("https://mitra.stanford.edu/kundaje/oak/projects/neuro-variants/variant_position/credible/roussos_2024/variant_figures/roussos_2024.childhood.Astrocyte/rs1940148_count_position.png",4,220,900)</f>
        <v/>
      </c>
      <c r="T697">
        <f>IMAGE("https://mitra.stanford.edu/kundaje/oak/projects/neuro-variants/variant_position/credible/roussos_2024/variant_figures/roussos_2024.childhood.Astrocyte/rs1940148_profile_position.png",4,220,900)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0.0632343694</v>
      </c>
      <c r="G698" t="n">
        <v>0.1484419271431615</v>
      </c>
      <c r="H698" t="n">
        <v>0.0142321790355337</v>
      </c>
      <c r="I698" t="n">
        <v>0.3436436345583519</v>
      </c>
      <c r="J698" t="n">
        <v>0.005513956630258</v>
      </c>
      <c r="K698" t="n">
        <v>0.7723651253094381</v>
      </c>
      <c r="L698" t="b">
        <v>0</v>
      </c>
      <c r="M698" t="b">
        <v>0</v>
      </c>
      <c r="N698" t="inlineStr">
        <is>
          <t>alt</t>
        </is>
      </c>
      <c r="O698" t="n">
        <v>100</v>
      </c>
      <c r="P698" t="n">
        <v>0.009155</v>
      </c>
      <c r="Q698" t="n">
        <v>-35</v>
      </c>
      <c r="R698" t="n">
        <v>0.03494</v>
      </c>
      <c r="S698">
        <f>IMAGE("https://mitra.stanford.edu/kundaje/oak/projects/neuro-variants/variant_position/credible/roussos_2024/variant_figures/roussos_2024.childhood.Astrocyte/rs1939515_count_position.png",4,220,900)</f>
        <v/>
      </c>
      <c r="T698">
        <f>IMAGE("https://mitra.stanford.edu/kundaje/oak/projects/neuro-variants/variant_position/credible/roussos_2024/variant_figures/roussos_2024.childhood.Astrocyte/rs1939515_profile_position.png",4,220,900)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0.0327429563</v>
      </c>
      <c r="G699" t="n">
        <v>0.3407720472991368</v>
      </c>
      <c r="H699" t="n">
        <v>0.0290507474947189</v>
      </c>
      <c r="I699" t="n">
        <v>0.0342761716292654</v>
      </c>
      <c r="J699" t="n">
        <v>0.1762222069565615</v>
      </c>
      <c r="K699" t="n">
        <v>0.224320206082029</v>
      </c>
      <c r="L699" t="b">
        <v>0</v>
      </c>
      <c r="M699" t="b">
        <v>0</v>
      </c>
      <c r="N699" t="inlineStr">
        <is>
          <t>alt</t>
        </is>
      </c>
      <c r="O699" t="n">
        <v>-85</v>
      </c>
      <c r="P699" t="n">
        <v>0.01639</v>
      </c>
      <c r="Q699" t="n">
        <v>100</v>
      </c>
      <c r="R699" t="n">
        <v>0.03882</v>
      </c>
      <c r="S699">
        <f>IMAGE("https://mitra.stanford.edu/kundaje/oak/projects/neuro-variants/variant_position/credible/roussos_2024/variant_figures/roussos_2024.childhood.Astrocyte/rs7946883_count_position.png",4,220,900)</f>
        <v/>
      </c>
      <c r="T699">
        <f>IMAGE("https://mitra.stanford.edu/kundaje/oak/projects/neuro-variants/variant_position/credible/roussos_2024/variant_figures/roussos_2024.childhood.Astrocyte/rs7946883_profile_position.png",4,220,900)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0.00298678082</v>
      </c>
      <c r="G700" t="n">
        <v>0.793649666794795</v>
      </c>
      <c r="H700" t="n">
        <v>0.0113343319734606</v>
      </c>
      <c r="I700" t="n">
        <v>0.5831321182097641</v>
      </c>
      <c r="J700" t="n">
        <v>0.6241533282956653</v>
      </c>
      <c r="K700" t="n">
        <v>0.0294496265044377</v>
      </c>
      <c r="L700" t="b">
        <v>0</v>
      </c>
      <c r="M700" t="b">
        <v>0</v>
      </c>
      <c r="N700" t="inlineStr">
        <is>
          <t>alt</t>
        </is>
      </c>
      <c r="O700" t="n">
        <v>25</v>
      </c>
      <c r="P700" t="n">
        <v>0.001953</v>
      </c>
      <c r="Q700" t="n">
        <v>-85</v>
      </c>
      <c r="R700" t="n">
        <v>0.03174</v>
      </c>
      <c r="S700">
        <f>IMAGE("https://mitra.stanford.edu/kundaje/oak/projects/neuro-variants/variant_position/credible/roussos_2024/variant_figures/roussos_2024.childhood.Astrocyte/rs118031494_count_position.png",4,220,900)</f>
        <v/>
      </c>
      <c r="T700">
        <f>IMAGE("https://mitra.stanford.edu/kundaje/oak/projects/neuro-variants/variant_position/credible/roussos_2024/variant_figures/roussos_2024.childhood.Astrocyte/rs118031494_profile_position.png",4,220,900)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-0.448518986</v>
      </c>
      <c r="G701" t="n">
        <v>0.0017336606898546</v>
      </c>
      <c r="H701" t="n">
        <v>0.0448576845282603</v>
      </c>
      <c r="I701" t="n">
        <v>0.0065395854375424</v>
      </c>
      <c r="J701" t="n">
        <v>0.5418897361330555</v>
      </c>
      <c r="K701" t="n">
        <v>0.0434445445519076</v>
      </c>
      <c r="L701" t="b">
        <v>1</v>
      </c>
      <c r="M701" t="b">
        <v>1</v>
      </c>
      <c r="N701" t="inlineStr">
        <is>
          <t>ref</t>
        </is>
      </c>
      <c r="O701" t="n">
        <v>-100</v>
      </c>
      <c r="P701" t="n">
        <v>0.015564</v>
      </c>
      <c r="Q701" t="n">
        <v>-75</v>
      </c>
      <c r="R701" t="n">
        <v>0.1909</v>
      </c>
      <c r="S701">
        <f>IMAGE("https://mitra.stanford.edu/kundaje/oak/projects/neuro-variants/variant_position/credible/roussos_2024/variant_figures/roussos_2024.childhood.Astrocyte/rs73034295_count_position.png",4,220,900)</f>
        <v/>
      </c>
      <c r="T701">
        <f>IMAGE("https://mitra.stanford.edu/kundaje/oak/projects/neuro-variants/variant_position/credible/roussos_2024/variant_figures/roussos_2024.childhood.Astrocyte/rs73034295_profile_position.png",4,220,900)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0.0225751868</v>
      </c>
      <c r="G702" t="n">
        <v>0.198253585073216</v>
      </c>
      <c r="H702" t="n">
        <v>0.015976124435594</v>
      </c>
      <c r="I702" t="n">
        <v>0.2657322021060022</v>
      </c>
      <c r="J702" t="n">
        <v>0.2662285422057353</v>
      </c>
      <c r="K702" t="n">
        <v>0.1514209662797869</v>
      </c>
      <c r="L702" t="b">
        <v>0</v>
      </c>
      <c r="M702" t="b">
        <v>0</v>
      </c>
      <c r="N702" t="inlineStr">
        <is>
          <t>alt</t>
        </is>
      </c>
      <c r="O702" t="n">
        <v>-50</v>
      </c>
      <c r="P702" t="n">
        <v>0.000824</v>
      </c>
      <c r="Q702" t="n">
        <v>40</v>
      </c>
      <c r="R702" t="n">
        <v>0.04077</v>
      </c>
      <c r="S702">
        <f>IMAGE("https://mitra.stanford.edu/kundaje/oak/projects/neuro-variants/variant_position/credible/roussos_2024/variant_figures/roussos_2024.childhood.Astrocyte/rs73036081_count_position.png",4,220,900)</f>
        <v/>
      </c>
      <c r="T702">
        <f>IMAGE("https://mitra.stanford.edu/kundaje/oak/projects/neuro-variants/variant_position/credible/roussos_2024/variant_figures/roussos_2024.childhood.Astrocyte/rs73036081_profile_position.png",4,220,900)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0.2301604730199999</v>
      </c>
      <c r="G703" t="n">
        <v>0.0179324653045515</v>
      </c>
      <c r="H703" t="n">
        <v>0.0356362145478671</v>
      </c>
      <c r="I703" t="n">
        <v>0.0170743110396509</v>
      </c>
      <c r="J703" t="n">
        <v>0.3776129086426538</v>
      </c>
      <c r="K703" t="n">
        <v>0.0959804598279119</v>
      </c>
      <c r="L703" t="b">
        <v>1</v>
      </c>
      <c r="M703" t="b">
        <v>0</v>
      </c>
      <c r="N703" t="inlineStr">
        <is>
          <t>alt</t>
        </is>
      </c>
      <c r="O703" t="n">
        <v>25</v>
      </c>
      <c r="P703" t="n">
        <v>0.001923</v>
      </c>
      <c r="Q703" t="n">
        <v>-10</v>
      </c>
      <c r="R703" t="n">
        <v>0.02197</v>
      </c>
      <c r="S703">
        <f>IMAGE("https://mitra.stanford.edu/kundaje/oak/projects/neuro-variants/variant_position/credible/roussos_2024/variant_figures/roussos_2024.childhood.Astrocyte/rs11223655_count_position.png",4,220,900)</f>
        <v/>
      </c>
      <c r="T703">
        <f>IMAGE("https://mitra.stanford.edu/kundaje/oak/projects/neuro-variants/variant_position/credible/roussos_2024/variant_figures/roussos_2024.childhood.Astrocyte/rs11223655_profile_position.png",4,220,900)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-0.0460789472</v>
      </c>
      <c r="G704" t="n">
        <v>0.2604750133853017</v>
      </c>
      <c r="H704" t="n">
        <v>0.0162318816101833</v>
      </c>
      <c r="I704" t="n">
        <v>0.2370934464754512</v>
      </c>
      <c r="J704" t="n">
        <v>0.481265981238503</v>
      </c>
      <c r="K704" t="n">
        <v>0.0613302589657786</v>
      </c>
      <c r="L704" t="b">
        <v>0</v>
      </c>
      <c r="M704" t="b">
        <v>0</v>
      </c>
      <c r="N704" t="inlineStr">
        <is>
          <t>ref</t>
        </is>
      </c>
      <c r="O704" t="n">
        <v>45</v>
      </c>
      <c r="P704" t="n">
        <v>0.00812</v>
      </c>
      <c r="Q704" t="n">
        <v>-100</v>
      </c>
      <c r="R704" t="n">
        <v>0.2559</v>
      </c>
      <c r="S704">
        <f>IMAGE("https://mitra.stanford.edu/kundaje/oak/projects/neuro-variants/variant_position/credible/roussos_2024/variant_figures/roussos_2024.childhood.Astrocyte/rs4936216_count_position.png",4,220,900)</f>
        <v/>
      </c>
      <c r="T704">
        <f>IMAGE("https://mitra.stanford.edu/kundaje/oak/projects/neuro-variants/variant_position/credible/roussos_2024/variant_figures/roussos_2024.childhood.Astrocyte/rs4936216_profile_position.png",4,220,900)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0.0078655922</v>
      </c>
      <c r="G705" t="n">
        <v>0.4409518503785449</v>
      </c>
      <c r="H705" t="n">
        <v>0.0118673039079605</v>
      </c>
      <c r="I705" t="n">
        <v>0.5194392202422417</v>
      </c>
      <c r="J705" t="n">
        <v>0.0105989481959804</v>
      </c>
      <c r="K705" t="n">
        <v>0.6804507220988815</v>
      </c>
      <c r="L705" t="b">
        <v>0</v>
      </c>
      <c r="M705" t="b">
        <v>0</v>
      </c>
      <c r="N705" t="inlineStr">
        <is>
          <t>alt</t>
        </is>
      </c>
      <c r="O705" t="n">
        <v>-95</v>
      </c>
      <c r="P705" t="n">
        <v>0.04224</v>
      </c>
      <c r="Q705" t="n">
        <v>-95</v>
      </c>
      <c r="R705" t="n">
        <v>0.1418</v>
      </c>
      <c r="S705">
        <f>IMAGE("https://mitra.stanford.edu/kundaje/oak/projects/neuro-variants/variant_position/credible/roussos_2024/variant_figures/roussos_2024.childhood.Astrocyte/rs470536_count_position.png",4,220,900)</f>
        <v/>
      </c>
      <c r="T705">
        <f>IMAGE("https://mitra.stanford.edu/kundaje/oak/projects/neuro-variants/variant_position/credible/roussos_2024/variant_figures/roussos_2024.childhood.Astrocyte/rs470536_profile_position.png",4,220,900)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-0.00747197036</v>
      </c>
      <c r="G706" t="n">
        <v>0.7422641524408917</v>
      </c>
      <c r="H706" t="n">
        <v>0.0317299820400729</v>
      </c>
      <c r="I706" t="n">
        <v>0.0238223411192271</v>
      </c>
      <c r="J706" t="n">
        <v>0.0024341095921778</v>
      </c>
      <c r="K706" t="n">
        <v>0.840679173040202</v>
      </c>
      <c r="L706" t="b">
        <v>0</v>
      </c>
      <c r="M706" t="b">
        <v>0</v>
      </c>
      <c r="N706" t="inlineStr">
        <is>
          <t>ref</t>
        </is>
      </c>
      <c r="O706" t="n">
        <v>70</v>
      </c>
      <c r="P706" t="n">
        <v>0.002365</v>
      </c>
      <c r="Q706" t="n">
        <v>-20</v>
      </c>
      <c r="R706" t="n">
        <v>0.04932</v>
      </c>
      <c r="S706">
        <f>IMAGE("https://mitra.stanford.edu/kundaje/oak/projects/neuro-variants/variant_position/credible/roussos_2024/variant_figures/roussos_2024.childhood.Astrocyte/rs626717_count_position.png",4,220,900)</f>
        <v/>
      </c>
      <c r="T706">
        <f>IMAGE("https://mitra.stanford.edu/kundaje/oak/projects/neuro-variants/variant_position/credible/roussos_2024/variant_figures/roussos_2024.childhood.Astrocyte/rs626717_profile_position.png",4,220,900)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0.057170659</v>
      </c>
      <c r="G707" t="n">
        <v>0.1837747949746068</v>
      </c>
      <c r="H707" t="n">
        <v>0.01203816567489</v>
      </c>
      <c r="I707" t="n">
        <v>0.4912465593043044</v>
      </c>
      <c r="J707" t="n">
        <v>0.0140192194667704</v>
      </c>
      <c r="K707" t="n">
        <v>0.6458903502491334</v>
      </c>
      <c r="L707" t="b">
        <v>0</v>
      </c>
      <c r="M707" t="b">
        <v>0</v>
      </c>
      <c r="N707" t="inlineStr">
        <is>
          <t>alt</t>
        </is>
      </c>
      <c r="O707" t="n">
        <v>5</v>
      </c>
      <c r="P707" t="n">
        <v>0.0007324</v>
      </c>
      <c r="Q707" t="n">
        <v>30</v>
      </c>
      <c r="R707" t="n">
        <v>0.04956</v>
      </c>
      <c r="S707">
        <f>IMAGE("https://mitra.stanford.edu/kundaje/oak/projects/neuro-variants/variant_position/credible/roussos_2024/variant_figures/roussos_2024.childhood.Astrocyte/rs470713_count_position.png",4,220,900)</f>
        <v/>
      </c>
      <c r="T707">
        <f>IMAGE("https://mitra.stanford.edu/kundaje/oak/projects/neuro-variants/variant_position/credible/roussos_2024/variant_figures/roussos_2024.childhood.Astrocyte/rs470713_profile_position.png",4,220,900)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0.0104391625</v>
      </c>
      <c r="G708" t="n">
        <v>0.6094825713278834</v>
      </c>
      <c r="H708" t="n">
        <v>0.009749249920190099</v>
      </c>
      <c r="I708" t="n">
        <v>0.7466285040250373</v>
      </c>
      <c r="J708" t="n">
        <v>0.113131521299413</v>
      </c>
      <c r="K708" t="n">
        <v>0.3038469099076774</v>
      </c>
      <c r="L708" t="b">
        <v>0</v>
      </c>
      <c r="M708" t="b">
        <v>0</v>
      </c>
      <c r="N708" t="inlineStr">
        <is>
          <t>alt</t>
        </is>
      </c>
      <c r="O708" t="n">
        <v>100</v>
      </c>
      <c r="P708" t="n">
        <v>0.002907</v>
      </c>
      <c r="Q708" t="n">
        <v>-50</v>
      </c>
      <c r="R708" t="n">
        <v>0.09045</v>
      </c>
      <c r="S708">
        <f>IMAGE("https://mitra.stanford.edu/kundaje/oak/projects/neuro-variants/variant_position/credible/roussos_2024/variant_figures/roussos_2024.childhood.Astrocyte/rs10736610_count_position.png",4,220,900)</f>
        <v/>
      </c>
      <c r="T708">
        <f>IMAGE("https://mitra.stanford.edu/kundaje/oak/projects/neuro-variants/variant_position/credible/roussos_2024/variant_figures/roussos_2024.childhood.Astrocyte/rs10736610_profile_position.png",4,220,900)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0.00385228259</v>
      </c>
      <c r="G709" t="n">
        <v>0.8594197156725041</v>
      </c>
      <c r="H709" t="n">
        <v>0.0065786582779606</v>
      </c>
      <c r="I709" t="n">
        <v>0.9737598597414668</v>
      </c>
      <c r="J709" t="n">
        <v>0.0159823834275987</v>
      </c>
      <c r="K709" t="n">
        <v>0.6257625018090009</v>
      </c>
      <c r="L709" t="b">
        <v>0</v>
      </c>
      <c r="M709" t="b">
        <v>0</v>
      </c>
      <c r="N709" t="inlineStr">
        <is>
          <t>alt</t>
        </is>
      </c>
      <c r="O709" t="n">
        <v>100</v>
      </c>
      <c r="P709" t="n">
        <v>0.03008</v>
      </c>
      <c r="Q709" t="n">
        <v>65</v>
      </c>
      <c r="R709" t="n">
        <v>0.1289</v>
      </c>
      <c r="S709">
        <f>IMAGE("https://mitra.stanford.edu/kundaje/oak/projects/neuro-variants/variant_position/credible/roussos_2024/variant_figures/roussos_2024.childhood.Astrocyte/rs11223722_count_position.png",4,220,900)</f>
        <v/>
      </c>
      <c r="T709">
        <f>IMAGE("https://mitra.stanford.edu/kundaje/oak/projects/neuro-variants/variant_position/credible/roussos_2024/variant_figures/roussos_2024.childhood.Astrocyte/rs11223722_profile_position.png",4,220,900)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-0.06816663940000001</v>
      </c>
      <c r="G710" t="n">
        <v>0.141384317785574</v>
      </c>
      <c r="H710" t="n">
        <v>0.0233846308082442</v>
      </c>
      <c r="I710" t="n">
        <v>0.0766794387306384</v>
      </c>
      <c r="J710" t="n">
        <v>0.0341019593475456</v>
      </c>
      <c r="K710" t="n">
        <v>0.5110420284843554</v>
      </c>
      <c r="L710" t="b">
        <v>0</v>
      </c>
      <c r="M710" t="b">
        <v>0</v>
      </c>
      <c r="N710" t="inlineStr">
        <is>
          <t>ref</t>
        </is>
      </c>
      <c r="O710" t="n">
        <v>-100</v>
      </c>
      <c r="P710" t="n">
        <v>0.05664</v>
      </c>
      <c r="Q710" t="n">
        <v>50</v>
      </c>
      <c r="R710" t="n">
        <v>0.06226</v>
      </c>
      <c r="S710">
        <f>IMAGE("https://mitra.stanford.edu/kundaje/oak/projects/neuro-variants/variant_position/credible/roussos_2024/variant_figures/roussos_2024.childhood.Astrocyte/rs10894782_count_position.png",4,220,900)</f>
        <v/>
      </c>
      <c r="T710">
        <f>IMAGE("https://mitra.stanford.edu/kundaje/oak/projects/neuro-variants/variant_position/credible/roussos_2024/variant_figures/roussos_2024.childhood.Astrocyte/rs10894782_profile_position.png",4,220,900)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-0.0468827547999999</v>
      </c>
      <c r="G711" t="n">
        <v>0.257585334143999</v>
      </c>
      <c r="H711" t="n">
        <v>0.0123642822219469</v>
      </c>
      <c r="I711" t="n">
        <v>0.47718917252491</v>
      </c>
      <c r="J711" t="n">
        <v>0.5298237579476845</v>
      </c>
      <c r="K711" t="n">
        <v>0.0483761391977176</v>
      </c>
      <c r="L711" t="b">
        <v>0</v>
      </c>
      <c r="M711" t="b">
        <v>0</v>
      </c>
      <c r="N711" t="inlineStr">
        <is>
          <t>ref</t>
        </is>
      </c>
      <c r="O711" t="n">
        <v>55</v>
      </c>
      <c r="P711" t="n">
        <v>0.01056</v>
      </c>
      <c r="Q711" t="n">
        <v>80</v>
      </c>
      <c r="R711" t="n">
        <v>0.1018</v>
      </c>
      <c r="S711">
        <f>IMAGE("https://mitra.stanford.edu/kundaje/oak/projects/neuro-variants/variant_position/credible/roussos_2024/variant_figures/roussos_2024.childhood.Astrocyte/rs523621_count_position.png",4,220,900)</f>
        <v/>
      </c>
      <c r="T711">
        <f>IMAGE("https://mitra.stanford.edu/kundaje/oak/projects/neuro-variants/variant_position/credible/roussos_2024/variant_figures/roussos_2024.childhood.Astrocyte/rs523621_profile_position.png",4,220,900)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-0.009389409099999999</v>
      </c>
      <c r="G712" t="n">
        <v>0.6582942425249921</v>
      </c>
      <c r="H712" t="n">
        <v>0.0350848390828343</v>
      </c>
      <c r="I712" t="n">
        <v>0.0161306306696127</v>
      </c>
      <c r="J712" t="n">
        <v>0.0710189065207269</v>
      </c>
      <c r="K712" t="n">
        <v>0.3861404438531517</v>
      </c>
      <c r="L712" t="b">
        <v>1</v>
      </c>
      <c r="M712" t="b">
        <v>0</v>
      </c>
      <c r="N712" t="inlineStr">
        <is>
          <t>ref</t>
        </is>
      </c>
      <c r="O712" t="n">
        <v>-60</v>
      </c>
      <c r="P712" t="n">
        <v>0.08495999999999999</v>
      </c>
      <c r="Q712" t="n">
        <v>-70</v>
      </c>
      <c r="R712" t="n">
        <v>0.1268</v>
      </c>
      <c r="S712">
        <f>IMAGE("https://mitra.stanford.edu/kundaje/oak/projects/neuro-variants/variant_position/credible/roussos_2024/variant_figures/roussos_2024.childhood.Astrocyte/rs543528_count_position.png",4,220,900)</f>
        <v/>
      </c>
      <c r="T712">
        <f>IMAGE("https://mitra.stanford.edu/kundaje/oak/projects/neuro-variants/variant_position/credible/roussos_2024/variant_figures/roussos_2024.childhood.Astrocyte/rs543528_profile_position.png",4,220,900)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-0.142216725</v>
      </c>
      <c r="G713" t="n">
        <v>0.0412989507683406</v>
      </c>
      <c r="H713" t="n">
        <v>0.0220127860887457</v>
      </c>
      <c r="I713" t="n">
        <v>0.0957412743035025</v>
      </c>
      <c r="J713" t="n">
        <v>0.6035843771228809</v>
      </c>
      <c r="K713" t="n">
        <v>0.0329839844410558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0.00483</v>
      </c>
      <c r="Q713" t="n">
        <v>85</v>
      </c>
      <c r="R713" t="n">
        <v>0.02295</v>
      </c>
      <c r="S713">
        <f>IMAGE("https://mitra.stanford.edu/kundaje/oak/projects/neuro-variants/variant_position/credible/roussos_2024/variant_figures/roussos_2024.childhood.Astrocyte/rs7936986_count_position.png",4,220,900)</f>
        <v/>
      </c>
      <c r="T713">
        <f>IMAGE("https://mitra.stanford.edu/kundaje/oak/projects/neuro-variants/variant_position/credible/roussos_2024/variant_figures/roussos_2024.childhood.Astrocyte/rs7936986_profile_position.png",4,220,900)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-0.0161320716</v>
      </c>
      <c r="G714" t="n">
        <v>0.4780333000712956</v>
      </c>
      <c r="H714" t="n">
        <v>0.0098904224709623</v>
      </c>
      <c r="I714" t="n">
        <v>0.7354332472914487</v>
      </c>
      <c r="J714" t="n">
        <v>0.0445757291261172</v>
      </c>
      <c r="K714" t="n">
        <v>0.4659846303360704</v>
      </c>
      <c r="L714" t="b">
        <v>0</v>
      </c>
      <c r="M714" t="b">
        <v>0</v>
      </c>
      <c r="N714" t="inlineStr">
        <is>
          <t>ref</t>
        </is>
      </c>
      <c r="O714" t="n">
        <v>-95</v>
      </c>
      <c r="P714" t="n">
        <v>0.005226</v>
      </c>
      <c r="Q714" t="n">
        <v>-30</v>
      </c>
      <c r="R714" t="n">
        <v>0.02304</v>
      </c>
      <c r="S714">
        <f>IMAGE("https://mitra.stanford.edu/kundaje/oak/projects/neuro-variants/variant_position/credible/roussos_2024/variant_figures/roussos_2024.childhood.Astrocyte/rs10894852_count_position.png",4,220,900)</f>
        <v/>
      </c>
      <c r="T714">
        <f>IMAGE("https://mitra.stanford.edu/kundaje/oak/projects/neuro-variants/variant_position/credible/roussos_2024/variant_figures/roussos_2024.childhood.Astrocyte/rs10894852_profile_position.png",4,220,900)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0.328572446</v>
      </c>
      <c r="G715" t="n">
        <v>0.0042635604926298</v>
      </c>
      <c r="H715" t="n">
        <v>0.0361133329028715</v>
      </c>
      <c r="I715" t="n">
        <v>0.0143858157359312</v>
      </c>
      <c r="J715" t="n">
        <v>0.1041530229824521</v>
      </c>
      <c r="K715" t="n">
        <v>0.3275858256455534</v>
      </c>
      <c r="L715" t="b">
        <v>1</v>
      </c>
      <c r="M715" t="b">
        <v>1</v>
      </c>
      <c r="N715" t="inlineStr">
        <is>
          <t>alt</t>
        </is>
      </c>
      <c r="O715" t="n">
        <v>-100</v>
      </c>
      <c r="P715" t="n">
        <v>0.02676</v>
      </c>
      <c r="Q715" t="n">
        <v>-70</v>
      </c>
      <c r="R715" t="n">
        <v>0.04248</v>
      </c>
      <c r="S715">
        <f>IMAGE("https://mitra.stanford.edu/kundaje/oak/projects/neuro-variants/variant_position/credible/roussos_2024/variant_figures/roussos_2024.childhood.Astrocyte/rs7122771_count_position.png",4,220,900)</f>
        <v/>
      </c>
      <c r="T715">
        <f>IMAGE("https://mitra.stanford.edu/kundaje/oak/projects/neuro-variants/variant_position/credible/roussos_2024/variant_figures/roussos_2024.childhood.Astrocyte/rs7122771_profile_position.png",4,220,900)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0.0133168504</v>
      </c>
      <c r="G716" t="n">
        <v>0.3288201666487564</v>
      </c>
      <c r="H716" t="n">
        <v>0.0204635874109606</v>
      </c>
      <c r="I716" t="n">
        <v>0.1220124757101728</v>
      </c>
      <c r="J716" t="n">
        <v>0.0138108431987664</v>
      </c>
      <c r="K716" t="n">
        <v>0.6440737660511168</v>
      </c>
      <c r="L716" t="b">
        <v>0</v>
      </c>
      <c r="M716" t="b">
        <v>0</v>
      </c>
      <c r="N716" t="inlineStr">
        <is>
          <t>alt</t>
        </is>
      </c>
      <c r="O716" t="n">
        <v>100</v>
      </c>
      <c r="P716" t="n">
        <v>0.00908</v>
      </c>
      <c r="Q716" t="n">
        <v>-45</v>
      </c>
      <c r="R716" t="n">
        <v>0.03021</v>
      </c>
      <c r="S716">
        <f>IMAGE("https://mitra.stanford.edu/kundaje/oak/projects/neuro-variants/variant_position/credible/roussos_2024/variant_figures/roussos_2024.childhood.Astrocyte/rs4343039_count_position.png",4,220,900)</f>
        <v/>
      </c>
      <c r="T716">
        <f>IMAGE("https://mitra.stanford.edu/kundaje/oak/projects/neuro-variants/variant_position/credible/roussos_2024/variant_figures/roussos_2024.childhood.Astrocyte/rs4343039_profile_position.png",4,220,900)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-0.0459024507999999</v>
      </c>
      <c r="G717" t="n">
        <v>0.250381940545475</v>
      </c>
      <c r="H717" t="n">
        <v>0.0107613767594934</v>
      </c>
      <c r="I717" t="n">
        <v>0.6367003516645589</v>
      </c>
      <c r="J717" t="n">
        <v>0.0235953683985558</v>
      </c>
      <c r="K717" t="n">
        <v>0.5696695717288421</v>
      </c>
      <c r="L717" t="b">
        <v>0</v>
      </c>
      <c r="M717" t="b">
        <v>0</v>
      </c>
      <c r="N717" t="inlineStr">
        <is>
          <t>ref</t>
        </is>
      </c>
      <c r="O717" t="n">
        <v>100</v>
      </c>
      <c r="P717" t="n">
        <v>0.0006027</v>
      </c>
      <c r="Q717" t="n">
        <v>20</v>
      </c>
      <c r="R717" t="n">
        <v>0.1138</v>
      </c>
      <c r="S717">
        <f>IMAGE("https://mitra.stanford.edu/kundaje/oak/projects/neuro-variants/variant_position/credible/roussos_2024/variant_figures/roussos_2024.childhood.Astrocyte/rs2187466_count_position.png",4,220,900)</f>
        <v/>
      </c>
      <c r="T717">
        <f>IMAGE("https://mitra.stanford.edu/kundaje/oak/projects/neuro-variants/variant_position/credible/roussos_2024/variant_figures/roussos_2024.childhood.Astrocyte/rs2187466_profile_position.png",4,220,900)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0.09415831719999999</v>
      </c>
      <c r="G718" t="n">
        <v>0.0763580482316342</v>
      </c>
      <c r="H718" t="n">
        <v>0.0113061173551226</v>
      </c>
      <c r="I718" t="n">
        <v>0.579088622295453</v>
      </c>
      <c r="J718" t="n">
        <v>0.4331997588025615</v>
      </c>
      <c r="K718" t="n">
        <v>0.0745909257065443</v>
      </c>
      <c r="L718" t="b">
        <v>0</v>
      </c>
      <c r="M718" t="b">
        <v>0</v>
      </c>
      <c r="N718" t="inlineStr">
        <is>
          <t>alt</t>
        </is>
      </c>
      <c r="O718" t="n">
        <v>-100</v>
      </c>
      <c r="P718" t="n">
        <v>0.01767</v>
      </c>
      <c r="Q718" t="n">
        <v>100</v>
      </c>
      <c r="R718" t="n">
        <v>0.2139</v>
      </c>
      <c r="S718">
        <f>IMAGE("https://mitra.stanford.edu/kundaje/oak/projects/neuro-variants/variant_position/credible/roussos_2024/variant_figures/roussos_2024.childhood.Astrocyte/rs3019649_count_position.png",4,220,900)</f>
        <v/>
      </c>
      <c r="T718">
        <f>IMAGE("https://mitra.stanford.edu/kundaje/oak/projects/neuro-variants/variant_position/credible/roussos_2024/variant_figures/roussos_2024.childhood.Astrocyte/rs3019649_profile_position.png",4,220,900)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-0.0552567546</v>
      </c>
      <c r="G719" t="n">
        <v>0.1930865773754638</v>
      </c>
      <c r="H719" t="n">
        <v>0.0132233133951672</v>
      </c>
      <c r="I719" t="n">
        <v>0.4119713099881924</v>
      </c>
      <c r="J719" t="n">
        <v>0.0628907055025073</v>
      </c>
      <c r="K719" t="n">
        <v>0.4138241774239833</v>
      </c>
      <c r="L719" t="b">
        <v>0</v>
      </c>
      <c r="M719" t="b">
        <v>0</v>
      </c>
      <c r="N719" t="inlineStr">
        <is>
          <t>ref</t>
        </is>
      </c>
      <c r="O719" t="n">
        <v>100</v>
      </c>
      <c r="P719" t="n">
        <v>0.003906</v>
      </c>
      <c r="Q719" t="n">
        <v>100</v>
      </c>
      <c r="R719" t="n">
        <v>0.0844</v>
      </c>
      <c r="S719">
        <f>IMAGE("https://mitra.stanford.edu/kundaje/oak/projects/neuro-variants/variant_position/credible/roussos_2024/variant_figures/roussos_2024.childhood.Astrocyte/rs3019651_count_position.png",4,220,900)</f>
        <v/>
      </c>
      <c r="T719">
        <f>IMAGE("https://mitra.stanford.edu/kundaje/oak/projects/neuro-variants/variant_position/credible/roussos_2024/variant_figures/roussos_2024.childhood.Astrocyte/rs3019651_profile_position.png",4,220,900)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-0.164685004</v>
      </c>
      <c r="G720" t="n">
        <v>0.0304821806080067</v>
      </c>
      <c r="H720" t="n">
        <v>0.0232688144946002</v>
      </c>
      <c r="I720" t="n">
        <v>0.0855642485750394</v>
      </c>
      <c r="J720" t="n">
        <v>0.1862960164258507</v>
      </c>
      <c r="K720" t="n">
        <v>0.2142119132330966</v>
      </c>
      <c r="L720" t="b">
        <v>0</v>
      </c>
      <c r="M720" t="b">
        <v>0</v>
      </c>
      <c r="N720" t="inlineStr">
        <is>
          <t>ref</t>
        </is>
      </c>
      <c r="O720" t="n">
        <v>-5</v>
      </c>
      <c r="P720" t="n">
        <v>0.0003471</v>
      </c>
      <c r="Q720" t="n">
        <v>-5</v>
      </c>
      <c r="R720" t="n">
        <v>0.01953</v>
      </c>
      <c r="S720">
        <f>IMAGE("https://mitra.stanford.edu/kundaje/oak/projects/neuro-variants/variant_position/credible/roussos_2024/variant_figures/roussos_2024.childhood.Astrocyte/rs3019652_count_position.png",4,220,900)</f>
        <v/>
      </c>
      <c r="T720">
        <f>IMAGE("https://mitra.stanford.edu/kundaje/oak/projects/neuro-variants/variant_position/credible/roussos_2024/variant_figures/roussos_2024.childhood.Astrocyte/rs3019652_profile_position.png",4,220,900)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-0.021708959048</v>
      </c>
      <c r="G721" t="n">
        <v>0.524969717275551</v>
      </c>
      <c r="H721" t="n">
        <v>0.0138946094028878</v>
      </c>
      <c r="I721" t="n">
        <v>0.3661512946694044</v>
      </c>
      <c r="J721" t="n">
        <v>0.0010708860952729</v>
      </c>
      <c r="K721" t="n">
        <v>0.9030789408322196</v>
      </c>
      <c r="L721" t="b">
        <v>0</v>
      </c>
      <c r="M721" t="b">
        <v>0</v>
      </c>
      <c r="N721" t="inlineStr">
        <is>
          <t>ref</t>
        </is>
      </c>
      <c r="O721" t="n">
        <v>0</v>
      </c>
      <c r="P721" t="n">
        <v>0</v>
      </c>
      <c r="Q721" t="n">
        <v>-40</v>
      </c>
      <c r="R721" t="n">
        <v>0.03485</v>
      </c>
      <c r="S721">
        <f>IMAGE("https://mitra.stanford.edu/kundaje/oak/projects/neuro-variants/variant_position/credible/roussos_2024/variant_figures/roussos_2024.childhood.Astrocyte/rs2226892_count_position.png",4,220,900)</f>
        <v/>
      </c>
      <c r="T721">
        <f>IMAGE("https://mitra.stanford.edu/kundaje/oak/projects/neuro-variants/variant_position/credible/roussos_2024/variant_figures/roussos_2024.childhood.Astrocyte/rs2226892_profile_position.png",4,220,900)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-0.1061485846</v>
      </c>
      <c r="G722" t="n">
        <v>0.083329864727662</v>
      </c>
      <c r="H722" t="n">
        <v>0.0397439176733131</v>
      </c>
      <c r="I722" t="n">
        <v>0.0101167601753619</v>
      </c>
      <c r="J722" t="n">
        <v>0.3229107035179715</v>
      </c>
      <c r="K722" t="n">
        <v>0.1205087703986289</v>
      </c>
      <c r="L722" t="b">
        <v>1</v>
      </c>
      <c r="M722" t="b">
        <v>0</v>
      </c>
      <c r="N722" t="inlineStr">
        <is>
          <t>ref</t>
        </is>
      </c>
      <c r="O722" t="n">
        <v>35</v>
      </c>
      <c r="P722" t="n">
        <v>0.005455</v>
      </c>
      <c r="Q722" t="n">
        <v>30</v>
      </c>
      <c r="R722" t="n">
        <v>0.0835</v>
      </c>
      <c r="S722">
        <f>IMAGE("https://mitra.stanford.edu/kundaje/oak/projects/neuro-variants/variant_position/credible/roussos_2024/variant_figures/roussos_2024.childhood.Astrocyte/rs3018003_count_position.png",4,220,900)</f>
        <v/>
      </c>
      <c r="T722">
        <f>IMAGE("https://mitra.stanford.edu/kundaje/oak/projects/neuro-variants/variant_position/credible/roussos_2024/variant_figures/roussos_2024.childhood.Astrocyte/rs3018003_profile_position.png",4,220,900)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0.01290873666</v>
      </c>
      <c r="G723" t="n">
        <v>0.655349014750731</v>
      </c>
      <c r="H723" t="n">
        <v>0.0109922746393815</v>
      </c>
      <c r="I723" t="n">
        <v>0.6105897421115465</v>
      </c>
      <c r="J723" t="n">
        <v>0.1712685000725118</v>
      </c>
      <c r="K723" t="n">
        <v>0.2283485370744134</v>
      </c>
      <c r="L723" t="b">
        <v>0</v>
      </c>
      <c r="M723" t="b">
        <v>0</v>
      </c>
      <c r="N723" t="inlineStr">
        <is>
          <t>alt</t>
        </is>
      </c>
      <c r="O723" t="n">
        <v>100</v>
      </c>
      <c r="P723" t="n">
        <v>0.004</v>
      </c>
      <c r="Q723" t="n">
        <v>-85</v>
      </c>
      <c r="R723" t="n">
        <v>0.08966</v>
      </c>
      <c r="S723">
        <f>IMAGE("https://mitra.stanford.edu/kundaje/oak/projects/neuro-variants/variant_position/credible/roussos_2024/variant_figures/roussos_2024.childhood.Astrocyte/rs11223928_count_position.png",4,220,900)</f>
        <v/>
      </c>
      <c r="T723">
        <f>IMAGE("https://mitra.stanford.edu/kundaje/oak/projects/neuro-variants/variant_position/credible/roussos_2024/variant_figures/roussos_2024.childhood.Astrocyte/rs11223928_profile_position.png",4,220,900)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0.01030962732</v>
      </c>
      <c r="G724" t="n">
        <v>0.5313486284520352</v>
      </c>
      <c r="H724" t="n">
        <v>0.0135387085622157</v>
      </c>
      <c r="I724" t="n">
        <v>0.3889827942702015</v>
      </c>
      <c r="J724" t="n">
        <v>0.0155747902879866</v>
      </c>
      <c r="K724" t="n">
        <v>0.6483933847654343</v>
      </c>
      <c r="L724" t="b">
        <v>0</v>
      </c>
      <c r="M724" t="b">
        <v>0</v>
      </c>
      <c r="N724" t="inlineStr">
        <is>
          <t>alt</t>
        </is>
      </c>
      <c r="O724" t="n">
        <v>70</v>
      </c>
      <c r="P724" t="n">
        <v>0.002796</v>
      </c>
      <c r="Q724" t="n">
        <v>5</v>
      </c>
      <c r="R724" t="n">
        <v>0.01715</v>
      </c>
      <c r="S724">
        <f>IMAGE("https://mitra.stanford.edu/kundaje/oak/projects/neuro-variants/variant_position/credible/roussos_2024/variant_figures/roussos_2024.childhood.Astrocyte/rs999785_count_position.png",4,220,900)</f>
        <v/>
      </c>
      <c r="T724">
        <f>IMAGE("https://mitra.stanford.edu/kundaje/oak/projects/neuro-variants/variant_position/credible/roussos_2024/variant_figures/roussos_2024.childhood.Astrocyte/rs999785_profile_position.png",4,220,900)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-0.0559104469999999</v>
      </c>
      <c r="G725" t="n">
        <v>0.1581376709343621</v>
      </c>
      <c r="H725" t="n">
        <v>0.0115291573794342</v>
      </c>
      <c r="I725" t="n">
        <v>0.5456514623791147</v>
      </c>
      <c r="J725" t="n">
        <v>0.3981337729843603</v>
      </c>
      <c r="K725" t="n">
        <v>0.08744570950238149</v>
      </c>
      <c r="L725" t="b">
        <v>0</v>
      </c>
      <c r="M725" t="b">
        <v>0</v>
      </c>
      <c r="N725" t="inlineStr">
        <is>
          <t>ref</t>
        </is>
      </c>
      <c r="O725" t="n">
        <v>25</v>
      </c>
      <c r="P725" t="n">
        <v>0.002434</v>
      </c>
      <c r="Q725" t="n">
        <v>20</v>
      </c>
      <c r="R725" t="n">
        <v>0.07324</v>
      </c>
      <c r="S725">
        <f>IMAGE("https://mitra.stanford.edu/kundaje/oak/projects/neuro-variants/variant_position/credible/roussos_2024/variant_figures/roussos_2024.childhood.Astrocyte/rs11223931_count_position.png",4,220,900)</f>
        <v/>
      </c>
      <c r="T725">
        <f>IMAGE("https://mitra.stanford.edu/kundaje/oak/projects/neuro-variants/variant_position/credible/roussos_2024/variant_figures/roussos_2024.childhood.Astrocyte/rs11223931_profile_position.png",4,220,900)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-0.05386056364</v>
      </c>
      <c r="G726" t="n">
        <v>0.219396738577922</v>
      </c>
      <c r="H726" t="n">
        <v>0.0125629793225731</v>
      </c>
      <c r="I726" t="n">
        <v>0.4386010046005284</v>
      </c>
      <c r="J726" t="n">
        <v>0.038614488638532</v>
      </c>
      <c r="K726" t="n">
        <v>0.4981181292747895</v>
      </c>
      <c r="L726" t="b">
        <v>0</v>
      </c>
      <c r="M726" t="b">
        <v>0</v>
      </c>
      <c r="N726" t="inlineStr">
        <is>
          <t>ref</t>
        </is>
      </c>
      <c r="O726" t="n">
        <v>100</v>
      </c>
      <c r="P726" t="n">
        <v>0.001633</v>
      </c>
      <c r="Q726" t="n">
        <v>-15</v>
      </c>
      <c r="R726" t="n">
        <v>0.006348</v>
      </c>
      <c r="S726">
        <f>IMAGE("https://mitra.stanford.edu/kundaje/oak/projects/neuro-variants/variant_position/credible/roussos_2024/variant_figures/roussos_2024.childhood.Astrocyte/rs10894859_count_position.png",4,220,900)</f>
        <v/>
      </c>
      <c r="T726">
        <f>IMAGE("https://mitra.stanford.edu/kundaje/oak/projects/neuro-variants/variant_position/credible/roussos_2024/variant_figures/roussos_2024.childhood.Astrocyte/rs10894859_profile_position.png",4,220,900)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0.0397304101999999</v>
      </c>
      <c r="G727" t="n">
        <v>0.2124742998279264</v>
      </c>
      <c r="H727" t="n">
        <v>0.0130317149684329</v>
      </c>
      <c r="I727" t="n">
        <v>0.4279069811264829</v>
      </c>
      <c r="J727" t="n">
        <v>0.0418706540572309</v>
      </c>
      <c r="K727" t="n">
        <v>0.4803707464151847</v>
      </c>
      <c r="L727" t="b">
        <v>0</v>
      </c>
      <c r="M727" t="b">
        <v>0</v>
      </c>
      <c r="N727" t="inlineStr">
        <is>
          <t>alt</t>
        </is>
      </c>
      <c r="O727" t="n">
        <v>100</v>
      </c>
      <c r="P727" t="n">
        <v>0.002136</v>
      </c>
      <c r="Q727" t="n">
        <v>50</v>
      </c>
      <c r="R727" t="n">
        <v>0.02478</v>
      </c>
      <c r="S727">
        <f>IMAGE("https://mitra.stanford.edu/kundaje/oak/projects/neuro-variants/variant_position/credible/roussos_2024/variant_figures/roussos_2024.childhood.Astrocyte/rs12277680_count_position.png",4,220,900)</f>
        <v/>
      </c>
      <c r="T727">
        <f>IMAGE("https://mitra.stanford.edu/kundaje/oak/projects/neuro-variants/variant_position/credible/roussos_2024/variant_figures/roussos_2024.childhood.Astrocyte/rs12277680_profile_position.png",4,220,900)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0.05537357786</v>
      </c>
      <c r="G728" t="n">
        <v>0.2253371090411028</v>
      </c>
      <c r="H728" t="n">
        <v>0.0227708100397821</v>
      </c>
      <c r="I728" t="n">
        <v>0.0835499874936574</v>
      </c>
      <c r="J728" t="n">
        <v>0.2445787822582491</v>
      </c>
      <c r="K728" t="n">
        <v>0.1694196073780098</v>
      </c>
      <c r="L728" t="b">
        <v>0</v>
      </c>
      <c r="M728" t="b">
        <v>0</v>
      </c>
      <c r="N728" t="inlineStr">
        <is>
          <t>alt</t>
        </is>
      </c>
      <c r="O728" t="n">
        <v>100</v>
      </c>
      <c r="P728" t="n">
        <v>0.003654</v>
      </c>
      <c r="Q728" t="n">
        <v>100</v>
      </c>
      <c r="R728" t="n">
        <v>0.1505</v>
      </c>
      <c r="S728">
        <f>IMAGE("https://mitra.stanford.edu/kundaje/oak/projects/neuro-variants/variant_position/credible/roussos_2024/variant_figures/roussos_2024.childhood.Astrocyte/rs7951888_count_position.png",4,220,900)</f>
        <v/>
      </c>
      <c r="T728">
        <f>IMAGE("https://mitra.stanford.edu/kundaje/oak/projects/neuro-variants/variant_position/credible/roussos_2024/variant_figures/roussos_2024.childhood.Astrocyte/rs7951888_profile_position.png",4,220,900)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0.08377519680000001</v>
      </c>
      <c r="G729" t="n">
        <v>0.0683912477952969</v>
      </c>
      <c r="H729" t="n">
        <v>0.0191758632638379</v>
      </c>
      <c r="I729" t="n">
        <v>0.1463168921514486</v>
      </c>
      <c r="J729" t="n">
        <v>0.184722126811843</v>
      </c>
      <c r="K729" t="n">
        <v>0.2157324838602531</v>
      </c>
      <c r="L729" t="b">
        <v>0</v>
      </c>
      <c r="M729" t="b">
        <v>0</v>
      </c>
      <c r="N729" t="inlineStr">
        <is>
          <t>alt</t>
        </is>
      </c>
      <c r="O729" t="n">
        <v>0</v>
      </c>
      <c r="P729" t="n">
        <v>0</v>
      </c>
      <c r="Q729" t="n">
        <v>80</v>
      </c>
      <c r="R729" t="n">
        <v>0.1373</v>
      </c>
      <c r="S729">
        <f>IMAGE("https://mitra.stanford.edu/kundaje/oak/projects/neuro-variants/variant_position/credible/roussos_2024/variant_figures/roussos_2024.childhood.Astrocyte/rs10894902_count_position.png",4,220,900)</f>
        <v/>
      </c>
      <c r="T729">
        <f>IMAGE("https://mitra.stanford.edu/kundaje/oak/projects/neuro-variants/variant_position/credible/roussos_2024/variant_figures/roussos_2024.childhood.Astrocyte/rs10894902_profile_position.png",4,220,900)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0.07314315320000001</v>
      </c>
      <c r="G730" t="n">
        <v>0.1292944654380142</v>
      </c>
      <c r="H730" t="n">
        <v>0.0145791681593</v>
      </c>
      <c r="I730" t="n">
        <v>0.3281164822363385</v>
      </c>
      <c r="J730" t="n">
        <v>0.0525627227832351</v>
      </c>
      <c r="K730" t="n">
        <v>0.4369323252253336</v>
      </c>
      <c r="L730" t="b">
        <v>0</v>
      </c>
      <c r="M730" t="b">
        <v>0</v>
      </c>
      <c r="N730" t="inlineStr">
        <is>
          <t>alt</t>
        </is>
      </c>
      <c r="O730" t="n">
        <v>80</v>
      </c>
      <c r="P730" t="n">
        <v>0.01462</v>
      </c>
      <c r="Q730" t="n">
        <v>-90</v>
      </c>
      <c r="R730" t="n">
        <v>0.09370000000000001</v>
      </c>
      <c r="S730">
        <f>IMAGE("https://mitra.stanford.edu/kundaje/oak/projects/neuro-variants/variant_position/credible/roussos_2024/variant_figures/roussos_2024.childhood.Astrocyte/rs906627_count_position.png",4,220,900)</f>
        <v/>
      </c>
      <c r="T730">
        <f>IMAGE("https://mitra.stanford.edu/kundaje/oak/projects/neuro-variants/variant_position/credible/roussos_2024/variant_figures/roussos_2024.childhood.Astrocyte/rs906627_profile_position.png",4,220,900)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0.0170287405499999</v>
      </c>
      <c r="G731" t="n">
        <v>0.5229206846963428</v>
      </c>
      <c r="H731" t="n">
        <v>0.008512159456277899</v>
      </c>
      <c r="I731" t="n">
        <v>0.8589279515181661</v>
      </c>
      <c r="J731" t="n">
        <v>0.5565607993099921</v>
      </c>
      <c r="K731" t="n">
        <v>0.042725738318815</v>
      </c>
      <c r="L731" t="b">
        <v>0</v>
      </c>
      <c r="M731" t="b">
        <v>0</v>
      </c>
      <c r="N731" t="inlineStr">
        <is>
          <t>alt</t>
        </is>
      </c>
      <c r="O731" t="n">
        <v>-75</v>
      </c>
      <c r="P731" t="n">
        <v>0.03098</v>
      </c>
      <c r="Q731" t="n">
        <v>75</v>
      </c>
      <c r="R731" t="n">
        <v>0.1553</v>
      </c>
      <c r="S731">
        <f>IMAGE("https://mitra.stanford.edu/kundaje/oak/projects/neuro-variants/variant_position/credible/roussos_2024/variant_figures/roussos_2024.childhood.Astrocyte/rs1154905_count_position.png",4,220,900)</f>
        <v/>
      </c>
      <c r="T731">
        <f>IMAGE("https://mitra.stanford.edu/kundaje/oak/projects/neuro-variants/variant_position/credible/roussos_2024/variant_figures/roussos_2024.childhood.Astrocyte/rs1154905_profile_position.png",4,220,900)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0.00210382524</v>
      </c>
      <c r="G732" t="n">
        <v>0.5290545396558939</v>
      </c>
      <c r="H732" t="n">
        <v>0.0145876841956555</v>
      </c>
      <c r="I732" t="n">
        <v>0.322638164516202</v>
      </c>
      <c r="J732" t="n">
        <v>0.1624052574935311</v>
      </c>
      <c r="K732" t="n">
        <v>0.2404389057217157</v>
      </c>
      <c r="L732" t="b">
        <v>0</v>
      </c>
      <c r="M732" t="b">
        <v>0</v>
      </c>
      <c r="N732" t="inlineStr">
        <is>
          <t>alt</t>
        </is>
      </c>
      <c r="O732" t="n">
        <v>85</v>
      </c>
      <c r="P732" t="n">
        <v>0.006065</v>
      </c>
      <c r="Q732" t="n">
        <v>80</v>
      </c>
      <c r="R732" t="n">
        <v>0.1357</v>
      </c>
      <c r="S732">
        <f>IMAGE("https://mitra.stanford.edu/kundaje/oak/projects/neuro-variants/variant_position/credible/roussos_2024/variant_figures/roussos_2024.childhood.Astrocyte/rs12226882_count_position.png",4,220,900)</f>
        <v/>
      </c>
      <c r="T732">
        <f>IMAGE("https://mitra.stanford.edu/kundaje/oak/projects/neuro-variants/variant_position/credible/roussos_2024/variant_figures/roussos_2024.childhood.Astrocyte/rs12226882_profile_position.png",4,220,900)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-0.263435186</v>
      </c>
      <c r="G733" t="n">
        <v>0.0084703502483146</v>
      </c>
      <c r="H733" t="n">
        <v>0.0420631777453672</v>
      </c>
      <c r="I733" t="n">
        <v>0.0084072239434332</v>
      </c>
      <c r="J733" t="n">
        <v>0.1909176951905535</v>
      </c>
      <c r="K733" t="n">
        <v>0.2110686879399336</v>
      </c>
      <c r="L733" t="b">
        <v>1</v>
      </c>
      <c r="M733" t="b">
        <v>1</v>
      </c>
      <c r="N733" t="inlineStr">
        <is>
          <t>ref</t>
        </is>
      </c>
      <c r="O733" t="n">
        <v>100</v>
      </c>
      <c r="P733" t="n">
        <v>0.00394</v>
      </c>
      <c r="Q733" t="n">
        <v>-90</v>
      </c>
      <c r="R733" t="n">
        <v>0.1914</v>
      </c>
      <c r="S733">
        <f>IMAGE("https://mitra.stanford.edu/kundaje/oak/projects/neuro-variants/variant_position/credible/roussos_2024/variant_figures/roussos_2024.childhood.Astrocyte/rs7118700_count_position.png",4,220,900)</f>
        <v/>
      </c>
      <c r="T733">
        <f>IMAGE("https://mitra.stanford.edu/kundaje/oak/projects/neuro-variants/variant_position/credible/roussos_2024/variant_figures/roussos_2024.childhood.Astrocyte/rs7118700_profile_position.png",4,220,900)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0.0329919668</v>
      </c>
      <c r="G734" t="n">
        <v>0.3435617370460064</v>
      </c>
      <c r="H734" t="n">
        <v>0.0187019700375556</v>
      </c>
      <c r="I734" t="n">
        <v>0.1579999847304168</v>
      </c>
      <c r="J734" t="n">
        <v>0.3626021845160403</v>
      </c>
      <c r="K734" t="n">
        <v>0.1024152710659622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0.1404</v>
      </c>
      <c r="Q734" t="n">
        <v>-100</v>
      </c>
      <c r="R734" t="n">
        <v>0.509</v>
      </c>
      <c r="S734">
        <f>IMAGE("https://mitra.stanford.edu/kundaje/oak/projects/neuro-variants/variant_position/credible/roussos_2024/variant_figures/roussos_2024.childhood.Astrocyte/rs1319913_count_position.png",4,220,900)</f>
        <v/>
      </c>
      <c r="T734">
        <f>IMAGE("https://mitra.stanford.edu/kundaje/oak/projects/neuro-variants/variant_position/credible/roussos_2024/variant_figures/roussos_2024.childhood.Astrocyte/rs1319913_profile_position.png",4,220,900)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-0.1869256799999999</v>
      </c>
      <c r="G735" t="n">
        <v>0.0204568744574624</v>
      </c>
      <c r="H735" t="n">
        <v>0.0243241465975346</v>
      </c>
      <c r="I735" t="n">
        <v>0.0699486902127059</v>
      </c>
      <c r="J735" t="n">
        <v>0.4483570332715073</v>
      </c>
      <c r="K735" t="n">
        <v>0.0691762443919518</v>
      </c>
      <c r="L735" t="b">
        <v>0</v>
      </c>
      <c r="M735" t="b">
        <v>0</v>
      </c>
      <c r="N735" t="inlineStr">
        <is>
          <t>ref</t>
        </is>
      </c>
      <c r="O735" t="n">
        <v>25</v>
      </c>
      <c r="P735" t="n">
        <v>0.002045</v>
      </c>
      <c r="Q735" t="n">
        <v>35</v>
      </c>
      <c r="R735" t="n">
        <v>0.02637</v>
      </c>
      <c r="S735">
        <f>IMAGE("https://mitra.stanford.edu/kundaje/oak/projects/neuro-variants/variant_position/credible/roussos_2024/variant_figures/roussos_2024.childhood.Astrocyte/rs11224103_count_position.png",4,220,900)</f>
        <v/>
      </c>
      <c r="T735">
        <f>IMAGE("https://mitra.stanford.edu/kundaje/oak/projects/neuro-variants/variant_position/credible/roussos_2024/variant_figures/roussos_2024.childhood.Astrocyte/rs11224103_profile_position.png",4,220,900)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-0.00392437687</v>
      </c>
      <c r="G736" t="n">
        <v>0.7612651150346758</v>
      </c>
      <c r="H736" t="n">
        <v>0.009299827023001301</v>
      </c>
      <c r="I736" t="n">
        <v>0.7675411291234533</v>
      </c>
      <c r="J736" t="n">
        <v>0.0027852197873493</v>
      </c>
      <c r="K736" t="n">
        <v>0.8301430142975023</v>
      </c>
      <c r="L736" t="b">
        <v>0</v>
      </c>
      <c r="M736" t="b">
        <v>0</v>
      </c>
      <c r="N736" t="inlineStr">
        <is>
          <t>ref</t>
        </is>
      </c>
      <c r="O736" t="n">
        <v>-35</v>
      </c>
      <c r="P736" t="n">
        <v>0.001823</v>
      </c>
      <c r="Q736" t="n">
        <v>95</v>
      </c>
      <c r="R736" t="n">
        <v>0.2399</v>
      </c>
      <c r="S736">
        <f>IMAGE("https://mitra.stanford.edu/kundaje/oak/projects/neuro-variants/variant_position/credible/roussos_2024/variant_figures/roussos_2024.childhood.Astrocyte/rs11061971_count_position.png",4,220,900)</f>
        <v/>
      </c>
      <c r="T736">
        <f>IMAGE("https://mitra.stanford.edu/kundaje/oak/projects/neuro-variants/variant_position/credible/roussos_2024/variant_figures/roussos_2024.childhood.Astrocyte/rs11061971_profile_position.png",4,220,900)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-0.182118404</v>
      </c>
      <c r="G737" t="n">
        <v>0.0288304874495488</v>
      </c>
      <c r="H737" t="n">
        <v>0.0348443786544558</v>
      </c>
      <c r="I737" t="n">
        <v>0.0189023702530838</v>
      </c>
      <c r="J737" t="n">
        <v>0.0151130040530328</v>
      </c>
      <c r="K737" t="n">
        <v>0.6369838129431751</v>
      </c>
      <c r="L737" t="b">
        <v>1</v>
      </c>
      <c r="M737" t="b">
        <v>0</v>
      </c>
      <c r="N737" t="inlineStr">
        <is>
          <t>ref</t>
        </is>
      </c>
      <c r="O737" t="n">
        <v>100</v>
      </c>
      <c r="P737" t="n">
        <v>0.01567</v>
      </c>
      <c r="Q737" t="n">
        <v>-80</v>
      </c>
      <c r="R737" t="n">
        <v>0.0663</v>
      </c>
      <c r="S737">
        <f>IMAGE("https://mitra.stanford.edu/kundaje/oak/projects/neuro-variants/variant_position/credible/roussos_2024/variant_figures/roussos_2024.childhood.Astrocyte/rs7294668_count_position.png",4,220,900)</f>
        <v/>
      </c>
      <c r="T737">
        <f>IMAGE("https://mitra.stanford.edu/kundaje/oak/projects/neuro-variants/variant_position/credible/roussos_2024/variant_figures/roussos_2024.childhood.Astrocyte/rs7294668_profile_position.png",4,220,900)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0.0320580152</v>
      </c>
      <c r="G738" t="n">
        <v>0.3522912540645277</v>
      </c>
      <c r="H738" t="n">
        <v>0.0539218505070706</v>
      </c>
      <c r="I738" t="n">
        <v>0.0029955928836277</v>
      </c>
      <c r="J738" t="n">
        <v>0.0052910779846274</v>
      </c>
      <c r="K738" t="n">
        <v>0.7662757239252318</v>
      </c>
      <c r="L738" t="b">
        <v>0</v>
      </c>
      <c r="M738" t="b">
        <v>0</v>
      </c>
      <c r="N738" t="inlineStr">
        <is>
          <t>alt</t>
        </is>
      </c>
      <c r="O738" t="n">
        <v>-60</v>
      </c>
      <c r="P738" t="n">
        <v>0.009639999999999999</v>
      </c>
      <c r="Q738" t="n">
        <v>-20</v>
      </c>
      <c r="R738" t="n">
        <v>0.02515</v>
      </c>
      <c r="S738">
        <f>IMAGE("https://mitra.stanford.edu/kundaje/oak/projects/neuro-variants/variant_position/credible/roussos_2024/variant_figures/roussos_2024.childhood.Astrocyte/rs7306506_count_position.png",4,220,900)</f>
        <v/>
      </c>
      <c r="T738">
        <f>IMAGE("https://mitra.stanford.edu/kundaje/oak/projects/neuro-variants/variant_position/credible/roussos_2024/variant_figures/roussos_2024.childhood.Astrocyte/rs7306506_profile_position.png",4,220,900)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-0.03679768</v>
      </c>
      <c r="G739" t="n">
        <v>0.3790754836486493</v>
      </c>
      <c r="H739" t="n">
        <v>0.0124648848709965</v>
      </c>
      <c r="I739" t="n">
        <v>0.4618126677620426</v>
      </c>
      <c r="J739" t="n">
        <v>0.0142298855838733</v>
      </c>
      <c r="K739" t="n">
        <v>0.6463157077822572</v>
      </c>
      <c r="L739" t="b">
        <v>0</v>
      </c>
      <c r="M739" t="b">
        <v>0</v>
      </c>
      <c r="N739" t="inlineStr">
        <is>
          <t>ref</t>
        </is>
      </c>
      <c r="O739" t="n">
        <v>-15</v>
      </c>
      <c r="P739" t="n">
        <v>0.003159</v>
      </c>
      <c r="Q739" t="n">
        <v>-80</v>
      </c>
      <c r="R739" t="n">
        <v>0.04126</v>
      </c>
      <c r="S739">
        <f>IMAGE("https://mitra.stanford.edu/kundaje/oak/projects/neuro-variants/variant_position/credible/roussos_2024/variant_figures/roussos_2024.childhood.Astrocyte/rs4766416_count_position.png",4,220,900)</f>
        <v/>
      </c>
      <c r="T739">
        <f>IMAGE("https://mitra.stanford.edu/kundaje/oak/projects/neuro-variants/variant_position/credible/roussos_2024/variant_figures/roussos_2024.childhood.Astrocyte/rs4766416_profile_position.png",4,220,900)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0.0953075885999999</v>
      </c>
      <c r="G740" t="n">
        <v>0.0833523448732124</v>
      </c>
      <c r="H740" t="n">
        <v>0.0118218913619702</v>
      </c>
      <c r="I740" t="n">
        <v>0.5294207954944734</v>
      </c>
      <c r="J740" t="n">
        <v>0.1673719401891415</v>
      </c>
      <c r="K740" t="n">
        <v>0.2337041299545278</v>
      </c>
      <c r="L740" t="b">
        <v>0</v>
      </c>
      <c r="M740" t="b">
        <v>0</v>
      </c>
      <c r="N740" t="inlineStr">
        <is>
          <t>alt</t>
        </is>
      </c>
      <c r="O740" t="n">
        <v>-100</v>
      </c>
      <c r="P740" t="n">
        <v>0.00885</v>
      </c>
      <c r="Q740" t="n">
        <v>-55</v>
      </c>
      <c r="R740" t="n">
        <v>0.0815</v>
      </c>
      <c r="S740">
        <f>IMAGE("https://mitra.stanford.edu/kundaje/oak/projects/neuro-variants/variant_position/credible/roussos_2024/variant_figures/roussos_2024.childhood.Astrocyte/rs7294540_count_position.png",4,220,900)</f>
        <v/>
      </c>
      <c r="T740">
        <f>IMAGE("https://mitra.stanford.edu/kundaje/oak/projects/neuro-variants/variant_position/credible/roussos_2024/variant_figures/roussos_2024.childhood.Astrocyte/rs7294540_profile_position.png",4,220,900)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-0.05825986156</v>
      </c>
      <c r="G741" t="n">
        <v>0.2060452376634254</v>
      </c>
      <c r="H741" t="n">
        <v>0.0226339788906333</v>
      </c>
      <c r="I741" t="n">
        <v>0.0849250240868677</v>
      </c>
      <c r="J741" t="n">
        <v>0.226262279315793</v>
      </c>
      <c r="K741" t="n">
        <v>0.1876343470209706</v>
      </c>
      <c r="L741" t="b">
        <v>0</v>
      </c>
      <c r="M741" t="b">
        <v>0</v>
      </c>
      <c r="N741" t="inlineStr">
        <is>
          <t>ref</t>
        </is>
      </c>
      <c r="O741" t="n">
        <v>-75</v>
      </c>
      <c r="P741" t="n">
        <v>0.01146</v>
      </c>
      <c r="Q741" t="n">
        <v>-100</v>
      </c>
      <c r="R741" t="n">
        <v>0.2018</v>
      </c>
      <c r="S741">
        <f>IMAGE("https://mitra.stanford.edu/kundaje/oak/projects/neuro-variants/variant_position/credible/roussos_2024/variant_figures/roussos_2024.childhood.Astrocyte/rs2286379_count_position.png",4,220,900)</f>
        <v/>
      </c>
      <c r="T741">
        <f>IMAGE("https://mitra.stanford.edu/kundaje/oak/projects/neuro-variants/variant_position/credible/roussos_2024/variant_figures/roussos_2024.childhood.Astrocyte/rs2286379_profile_position.png",4,220,900)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-0.0170141286</v>
      </c>
      <c r="G742" t="n">
        <v>0.488829256535029</v>
      </c>
      <c r="H742" t="n">
        <v>0.0095414355847976</v>
      </c>
      <c r="I742" t="n">
        <v>0.7663084296580595</v>
      </c>
      <c r="J742" t="n">
        <v>0.1410569943440726</v>
      </c>
      <c r="K742" t="n">
        <v>0.2711201373571363</v>
      </c>
      <c r="L742" t="b">
        <v>0</v>
      </c>
      <c r="M742" t="b">
        <v>0</v>
      </c>
      <c r="N742" t="inlineStr">
        <is>
          <t>ref</t>
        </is>
      </c>
      <c r="O742" t="n">
        <v>-5</v>
      </c>
      <c r="P742" t="n">
        <v>0.0001526</v>
      </c>
      <c r="Q742" t="n">
        <v>-95</v>
      </c>
      <c r="R742" t="n">
        <v>0.05127</v>
      </c>
      <c r="S742">
        <f>IMAGE("https://mitra.stanford.edu/kundaje/oak/projects/neuro-variants/variant_position/credible/roussos_2024/variant_figures/roussos_2024.childhood.Astrocyte/rs2283288_count_position.png",4,220,900)</f>
        <v/>
      </c>
      <c r="T742">
        <f>IMAGE("https://mitra.stanford.edu/kundaje/oak/projects/neuro-variants/variant_position/credible/roussos_2024/variant_figures/roussos_2024.childhood.Astrocyte/rs2283288_profile_position.png",4,220,900)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0.07946193679999999</v>
      </c>
      <c r="G743" t="n">
        <v>0.119543446732781</v>
      </c>
      <c r="H743" t="n">
        <v>0.0220288151700826</v>
      </c>
      <c r="I743" t="n">
        <v>0.0955814395953503</v>
      </c>
      <c r="J743" t="n">
        <v>0.1837039072458458</v>
      </c>
      <c r="K743" t="n">
        <v>0.220036413898997</v>
      </c>
      <c r="L743" t="b">
        <v>0</v>
      </c>
      <c r="M743" t="b">
        <v>0</v>
      </c>
      <c r="N743" t="inlineStr">
        <is>
          <t>alt</t>
        </is>
      </c>
      <c r="O743" t="n">
        <v>45</v>
      </c>
      <c r="P743" t="n">
        <v>0.00669</v>
      </c>
      <c r="Q743" t="n">
        <v>40</v>
      </c>
      <c r="R743" t="n">
        <v>0.08373999999999999</v>
      </c>
      <c r="S743">
        <f>IMAGE("https://mitra.stanford.edu/kundaje/oak/projects/neuro-variants/variant_position/credible/roussos_2024/variant_figures/roussos_2024.childhood.Astrocyte/rs2238048_count_position.png",4,220,900)</f>
        <v/>
      </c>
      <c r="T743">
        <f>IMAGE("https://mitra.stanford.edu/kundaje/oak/projects/neuro-variants/variant_position/credible/roussos_2024/variant_figures/roussos_2024.childhood.Astrocyte/rs2238048_profile_position.png",4,220,900)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-0.0166252626999999</v>
      </c>
      <c r="G744" t="n">
        <v>0.4738330386209727</v>
      </c>
      <c r="H744" t="n">
        <v>0.0145134568031901</v>
      </c>
      <c r="I744" t="n">
        <v>0.3246749849198417</v>
      </c>
      <c r="J744" t="n">
        <v>0.0677344996298076</v>
      </c>
      <c r="K744" t="n">
        <v>0.4042357787500846</v>
      </c>
      <c r="L744" t="b">
        <v>0</v>
      </c>
      <c r="M744" t="b">
        <v>0</v>
      </c>
      <c r="N744" t="inlineStr">
        <is>
          <t>ref</t>
        </is>
      </c>
      <c r="O744" t="n">
        <v>-60</v>
      </c>
      <c r="P744" t="n">
        <v>0.0004387</v>
      </c>
      <c r="Q744" t="n">
        <v>-95</v>
      </c>
      <c r="R744" t="n">
        <v>0.0765</v>
      </c>
      <c r="S744">
        <f>IMAGE("https://mitra.stanford.edu/kundaje/oak/projects/neuro-variants/variant_position/credible/roussos_2024/variant_figures/roussos_2024.childhood.Astrocyte/rs11614764_count_position.png",4,220,900)</f>
        <v/>
      </c>
      <c r="T744">
        <f>IMAGE("https://mitra.stanford.edu/kundaje/oak/projects/neuro-variants/variant_position/credible/roussos_2024/variant_figures/roussos_2024.childhood.Astrocyte/rs11614764_profile_position.png",4,220,900)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-0.09154507100000001</v>
      </c>
      <c r="G745" t="n">
        <v>0.08423425494104431</v>
      </c>
      <c r="H745" t="n">
        <v>0.0165467367396492</v>
      </c>
      <c r="I745" t="n">
        <v>0.2293216027989079</v>
      </c>
      <c r="J745" t="n">
        <v>0.0184729759642172</v>
      </c>
      <c r="K745" t="n">
        <v>0.6147265555879761</v>
      </c>
      <c r="L745" t="b">
        <v>0</v>
      </c>
      <c r="M745" t="b">
        <v>0</v>
      </c>
      <c r="N745" t="inlineStr">
        <is>
          <t>ref</t>
        </is>
      </c>
      <c r="O745" t="n">
        <v>-70</v>
      </c>
      <c r="P745" t="n">
        <v>0.00442</v>
      </c>
      <c r="Q745" t="n">
        <v>85</v>
      </c>
      <c r="R745" t="n">
        <v>0.044</v>
      </c>
      <c r="S745">
        <f>IMAGE("https://mitra.stanford.edu/kundaje/oak/projects/neuro-variants/variant_position/credible/roussos_2024/variant_figures/roussos_2024.childhood.Astrocyte/rs2239018_count_position.png",4,220,900)</f>
        <v/>
      </c>
      <c r="T745">
        <f>IMAGE("https://mitra.stanford.edu/kundaje/oak/projects/neuro-variants/variant_position/credible/roussos_2024/variant_figures/roussos_2024.childhood.Astrocyte/rs2239018_profile_position.png",4,220,900)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-0.02606623126</v>
      </c>
      <c r="G746" t="n">
        <v>0.3461486037692946</v>
      </c>
      <c r="H746" t="n">
        <v>0.0115069978717489</v>
      </c>
      <c r="I746" t="n">
        <v>0.5563683573441387</v>
      </c>
      <c r="J746" t="n">
        <v>0.0095181394212787</v>
      </c>
      <c r="K746" t="n">
        <v>0.7032110235262808</v>
      </c>
      <c r="L746" t="b">
        <v>0</v>
      </c>
      <c r="M746" t="b">
        <v>0</v>
      </c>
      <c r="N746" t="inlineStr">
        <is>
          <t>ref</t>
        </is>
      </c>
      <c r="O746" t="n">
        <v>-40</v>
      </c>
      <c r="P746" t="n">
        <v>0.00383</v>
      </c>
      <c r="Q746" t="n">
        <v>5</v>
      </c>
      <c r="R746" t="n">
        <v>0.01138</v>
      </c>
      <c r="S746">
        <f>IMAGE("https://mitra.stanford.edu/kundaje/oak/projects/neuro-variants/variant_position/credible/roussos_2024/variant_figures/roussos_2024.childhood.Astrocyte/rs2238053_count_position.png",4,220,900)</f>
        <v/>
      </c>
      <c r="T746">
        <f>IMAGE("https://mitra.stanford.edu/kundaje/oak/projects/neuro-variants/variant_position/credible/roussos_2024/variant_figures/roussos_2024.childhood.Astrocyte/rs2238053_profile_position.png",4,220,900)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0.01014319928</v>
      </c>
      <c r="G747" t="n">
        <v>0.6938564154054415</v>
      </c>
      <c r="H747" t="n">
        <v>0.0118461751903195</v>
      </c>
      <c r="I747" t="n">
        <v>0.5336512274335933</v>
      </c>
      <c r="J747" t="n">
        <v>0.0463183042904138</v>
      </c>
      <c r="K747" t="n">
        <v>0.4684454574036503</v>
      </c>
      <c r="L747" t="b">
        <v>0</v>
      </c>
      <c r="M747" t="b">
        <v>0</v>
      </c>
      <c r="N747" t="inlineStr">
        <is>
          <t>alt</t>
        </is>
      </c>
      <c r="O747" t="n">
        <v>-50</v>
      </c>
      <c r="P747" t="n">
        <v>0.004578</v>
      </c>
      <c r="Q747" t="n">
        <v>90</v>
      </c>
      <c r="R747" t="n">
        <v>0.042</v>
      </c>
      <c r="S747">
        <f>IMAGE("https://mitra.stanford.edu/kundaje/oak/projects/neuro-variants/variant_position/credible/roussos_2024/variant_figures/roussos_2024.childhood.Astrocyte/rs7957545_count_position.png",4,220,900)</f>
        <v/>
      </c>
      <c r="T747">
        <f>IMAGE("https://mitra.stanford.edu/kundaje/oak/projects/neuro-variants/variant_position/credible/roussos_2024/variant_figures/roussos_2024.childhood.Astrocyte/rs7957545_profile_position.png",4,220,900)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0.1758144128</v>
      </c>
      <c r="G748" t="n">
        <v>0.0228783483512668</v>
      </c>
      <c r="H748" t="n">
        <v>0.0184504469639156</v>
      </c>
      <c r="I748" t="n">
        <v>0.1796307000609945</v>
      </c>
      <c r="J748" t="n">
        <v>0.2678673108775465</v>
      </c>
      <c r="K748" t="n">
        <v>0.1556318756598821</v>
      </c>
      <c r="L748" t="b">
        <v>0</v>
      </c>
      <c r="M748" t="b">
        <v>0</v>
      </c>
      <c r="N748" t="inlineStr">
        <is>
          <t>alt</t>
        </is>
      </c>
      <c r="O748" t="n">
        <v>-100</v>
      </c>
      <c r="P748" t="n">
        <v>0.01199</v>
      </c>
      <c r="Q748" t="n">
        <v>10</v>
      </c>
      <c r="R748" t="n">
        <v>0.06055</v>
      </c>
      <c r="S748">
        <f>IMAGE("https://mitra.stanford.edu/kundaje/oak/projects/neuro-variants/variant_position/credible/roussos_2024/variant_figures/roussos_2024.childhood.Astrocyte/rs10848642_count_position.png",4,220,900)</f>
        <v/>
      </c>
      <c r="T748">
        <f>IMAGE("https://mitra.stanford.edu/kundaje/oak/projects/neuro-variants/variant_position/credible/roussos_2024/variant_figures/roussos_2024.childhood.Astrocyte/rs10848642_profile_position.png",4,220,900)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-0.04871137686</v>
      </c>
      <c r="G749" t="n">
        <v>0.2340427805677063</v>
      </c>
      <c r="H749" t="n">
        <v>0.0186945396732231</v>
      </c>
      <c r="I749" t="n">
        <v>0.1620595074139721</v>
      </c>
      <c r="J749" t="n">
        <v>0.0507781670521245</v>
      </c>
      <c r="K749" t="n">
        <v>0.4589036932428106</v>
      </c>
      <c r="L749" t="b">
        <v>0</v>
      </c>
      <c r="M749" t="b">
        <v>0</v>
      </c>
      <c r="N749" t="inlineStr">
        <is>
          <t>ref</t>
        </is>
      </c>
      <c r="O749" t="n">
        <v>-65</v>
      </c>
      <c r="P749" t="n">
        <v>0.01376</v>
      </c>
      <c r="Q749" t="n">
        <v>-70</v>
      </c>
      <c r="R749" t="n">
        <v>0.158</v>
      </c>
      <c r="S749">
        <f>IMAGE("https://mitra.stanford.edu/kundaje/oak/projects/neuro-variants/variant_position/credible/roussos_2024/variant_figures/roussos_2024.childhood.Astrocyte/rs11062162_count_position.png",4,220,900)</f>
        <v/>
      </c>
      <c r="T749">
        <f>IMAGE("https://mitra.stanford.edu/kundaje/oak/projects/neuro-variants/variant_position/credible/roussos_2024/variant_figures/roussos_2024.childhood.Astrocyte/rs11062162_profile_position.png",4,220,900)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0.0051378206</v>
      </c>
      <c r="G750" t="n">
        <v>0.6677838319574995</v>
      </c>
      <c r="H750" t="n">
        <v>0.0106192177598037</v>
      </c>
      <c r="I750" t="n">
        <v>0.6536877988012079</v>
      </c>
      <c r="J750" t="n">
        <v>0.0005556700480104</v>
      </c>
      <c r="K750" t="n">
        <v>0.9453106816585434</v>
      </c>
      <c r="L750" t="b">
        <v>0</v>
      </c>
      <c r="M750" t="b">
        <v>0</v>
      </c>
      <c r="N750" t="inlineStr">
        <is>
          <t>alt</t>
        </is>
      </c>
      <c r="O750" t="n">
        <v>90</v>
      </c>
      <c r="P750" t="n">
        <v>0.004738</v>
      </c>
      <c r="Q750" t="n">
        <v>35</v>
      </c>
      <c r="R750" t="n">
        <v>0.08452999999999999</v>
      </c>
      <c r="S750">
        <f>IMAGE("https://mitra.stanford.edu/kundaje/oak/projects/neuro-variants/variant_position/credible/roussos_2024/variant_figures/roussos_2024.childhood.Astrocyte/rs1108222_count_position.png",4,220,900)</f>
        <v/>
      </c>
      <c r="T750">
        <f>IMAGE("https://mitra.stanford.edu/kundaje/oak/projects/neuro-variants/variant_position/credible/roussos_2024/variant_figures/roussos_2024.childhood.Astrocyte/rs1108222_profile_position.png",4,220,900)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0.0658964669999999</v>
      </c>
      <c r="G751" t="n">
        <v>0.1441175050425075</v>
      </c>
      <c r="H751" t="n">
        <v>0.0267435284756695</v>
      </c>
      <c r="I751" t="n">
        <v>0.0469955033551742</v>
      </c>
      <c r="J751" t="n">
        <v>0.0187317289123979</v>
      </c>
      <c r="K751" t="n">
        <v>0.6052806314309915</v>
      </c>
      <c r="L751" t="b">
        <v>0</v>
      </c>
      <c r="M751" t="b">
        <v>0</v>
      </c>
      <c r="N751" t="inlineStr">
        <is>
          <t>alt</t>
        </is>
      </c>
      <c r="O751" t="n">
        <v>-95</v>
      </c>
      <c r="P751" t="n">
        <v>0.01067</v>
      </c>
      <c r="Q751" t="n">
        <v>-95</v>
      </c>
      <c r="R751" t="n">
        <v>0.07480000000000001</v>
      </c>
      <c r="S751">
        <f>IMAGE("https://mitra.stanford.edu/kundaje/oak/projects/neuro-variants/variant_position/credible/roussos_2024/variant_figures/roussos_2024.childhood.Astrocyte/rs11062166_count_position.png",4,220,900)</f>
        <v/>
      </c>
      <c r="T751">
        <f>IMAGE("https://mitra.stanford.edu/kundaje/oak/projects/neuro-variants/variant_position/credible/roussos_2024/variant_figures/roussos_2024.childhood.Astrocyte/rs11062166_profile_position.png",4,220,900)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-0.03575432014</v>
      </c>
      <c r="G752" t="n">
        <v>0.3311135282058894</v>
      </c>
      <c r="H752" t="n">
        <v>0.0139198659019379</v>
      </c>
      <c r="I752" t="n">
        <v>0.3587604729508551</v>
      </c>
      <c r="J752" t="n">
        <v>0.6206162747208294</v>
      </c>
      <c r="K752" t="n">
        <v>0.0295636792408128</v>
      </c>
      <c r="L752" t="b">
        <v>0</v>
      </c>
      <c r="M752" t="b">
        <v>0</v>
      </c>
      <c r="N752" t="inlineStr">
        <is>
          <t>ref</t>
        </is>
      </c>
      <c r="O752" t="n">
        <v>75</v>
      </c>
      <c r="P752" t="n">
        <v>0.011986</v>
      </c>
      <c r="Q752" t="n">
        <v>-100</v>
      </c>
      <c r="R752" t="n">
        <v>0.293</v>
      </c>
      <c r="S752">
        <f>IMAGE("https://mitra.stanford.edu/kundaje/oak/projects/neuro-variants/variant_position/credible/roussos_2024/variant_figures/roussos_2024.childhood.Astrocyte/rs11062170_count_position.png",4,220,900)</f>
        <v/>
      </c>
      <c r="T752">
        <f>IMAGE("https://mitra.stanford.edu/kundaje/oak/projects/neuro-variants/variant_position/credible/roussos_2024/variant_figures/roussos_2024.childhood.Astrocyte/rs11062170_profile_position.png",4,220,900)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0.0398108964</v>
      </c>
      <c r="G753" t="n">
        <v>0.2747620558618447</v>
      </c>
      <c r="H753" t="n">
        <v>0.0095907914712702</v>
      </c>
      <c r="I753" t="n">
        <v>0.749434283587281</v>
      </c>
      <c r="J753" t="n">
        <v>0.2055192996114889</v>
      </c>
      <c r="K753" t="n">
        <v>0.1992163387160675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0.1196</v>
      </c>
      <c r="Q753" t="n">
        <v>100</v>
      </c>
      <c r="R753" t="n">
        <v>0.2615</v>
      </c>
      <c r="S753">
        <f>IMAGE("https://mitra.stanford.edu/kundaje/oak/projects/neuro-variants/variant_position/credible/roussos_2024/variant_figures/roussos_2024.childhood.Astrocyte/rs2370414_count_position.png",4,220,900)</f>
        <v/>
      </c>
      <c r="T753">
        <f>IMAGE("https://mitra.stanford.edu/kundaje/oak/projects/neuro-variants/variant_position/credible/roussos_2024/variant_figures/roussos_2024.childhood.Astrocyte/rs2370414_profile_position.png",4,220,900)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0.0823566092</v>
      </c>
      <c r="G754" t="n">
        <v>0.1160141389313754</v>
      </c>
      <c r="H754" t="n">
        <v>0.0225866052862899</v>
      </c>
      <c r="I754" t="n">
        <v>0.08380988257929819</v>
      </c>
      <c r="J754" t="n">
        <v>0.3153908390770381</v>
      </c>
      <c r="K754" t="n">
        <v>0.1243361270585013</v>
      </c>
      <c r="L754" t="b">
        <v>0</v>
      </c>
      <c r="M754" t="b">
        <v>0</v>
      </c>
      <c r="N754" t="inlineStr">
        <is>
          <t>alt</t>
        </is>
      </c>
      <c r="O754" t="n">
        <v>55</v>
      </c>
      <c r="P754" t="n">
        <v>0.009339999999999999</v>
      </c>
      <c r="Q754" t="n">
        <v>40</v>
      </c>
      <c r="R754" t="n">
        <v>0.07275</v>
      </c>
      <c r="S754">
        <f>IMAGE("https://mitra.stanford.edu/kundaje/oak/projects/neuro-variants/variant_position/credible/roussos_2024/variant_figures/roussos_2024.childhood.Astrocyte/rs2238057_count_position.png",4,220,900)</f>
        <v/>
      </c>
      <c r="T754">
        <f>IMAGE("https://mitra.stanford.edu/kundaje/oak/projects/neuro-variants/variant_position/credible/roussos_2024/variant_figures/roussos_2024.childhood.Astrocyte/rs2238057_profile_position.png",4,220,900)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0.009137466893999999</v>
      </c>
      <c r="G755" t="n">
        <v>0.7219243111866244</v>
      </c>
      <c r="H755" t="n">
        <v>0.0104820548235486</v>
      </c>
      <c r="I755" t="n">
        <v>0.6685328227000208</v>
      </c>
      <c r="J755" t="n">
        <v>0.1748231091571065</v>
      </c>
      <c r="K755" t="n">
        <v>0.2271359624585921</v>
      </c>
      <c r="L755" t="b">
        <v>0</v>
      </c>
      <c r="M755" t="b">
        <v>0</v>
      </c>
      <c r="N755" t="inlineStr">
        <is>
          <t>alt</t>
        </is>
      </c>
      <c r="O755" t="n">
        <v>-45</v>
      </c>
      <c r="P755" t="n">
        <v>0.003826</v>
      </c>
      <c r="Q755" t="n">
        <v>100</v>
      </c>
      <c r="R755" t="n">
        <v>0.1486</v>
      </c>
      <c r="S755">
        <f>IMAGE("https://mitra.stanford.edu/kundaje/oak/projects/neuro-variants/variant_position/credible/roussos_2024/variant_figures/roussos_2024.childhood.Astrocyte/rs6489486_count_position.png",4,220,900)</f>
        <v/>
      </c>
      <c r="T755">
        <f>IMAGE("https://mitra.stanford.edu/kundaje/oak/projects/neuro-variants/variant_position/credible/roussos_2024/variant_figures/roussos_2024.childhood.Astrocyte/rs6489486_profile_position.png",4,220,900)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-0.008617049166</v>
      </c>
      <c r="G756" t="n">
        <v>0.7635748182462254</v>
      </c>
      <c r="H756" t="n">
        <v>0.0251899289928407</v>
      </c>
      <c r="I756" t="n">
        <v>0.0568955775338753</v>
      </c>
      <c r="J756" t="n">
        <v>0.0029714608473967</v>
      </c>
      <c r="K756" t="n">
        <v>0.8237427460101685</v>
      </c>
      <c r="L756" t="b">
        <v>0</v>
      </c>
      <c r="M756" t="b">
        <v>0</v>
      </c>
      <c r="N756" t="inlineStr">
        <is>
          <t>ref</t>
        </is>
      </c>
      <c r="O756" t="n">
        <v>10</v>
      </c>
      <c r="P756" t="n">
        <v>0.0003357</v>
      </c>
      <c r="Q756" t="n">
        <v>10</v>
      </c>
      <c r="R756" t="n">
        <v>0.006714</v>
      </c>
      <c r="S756">
        <f>IMAGE("https://mitra.stanford.edu/kundaje/oak/projects/neuro-variants/variant_position/credible/roussos_2024/variant_figures/roussos_2024.childhood.Astrocyte/rs7132826_count_position.png",4,220,900)</f>
        <v/>
      </c>
      <c r="T756">
        <f>IMAGE("https://mitra.stanford.edu/kundaje/oak/projects/neuro-variants/variant_position/credible/roussos_2024/variant_figures/roussos_2024.childhood.Astrocyte/rs7132826_profile_position.png",4,220,900)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0.01107946172</v>
      </c>
      <c r="G757" t="n">
        <v>0.6598720609957034</v>
      </c>
      <c r="H757" t="n">
        <v>0.0289184711324105</v>
      </c>
      <c r="I757" t="n">
        <v>0.0346439501132961</v>
      </c>
      <c r="J757" t="n">
        <v>0.0139833451642203</v>
      </c>
      <c r="K757" t="n">
        <v>0.655545251739911</v>
      </c>
      <c r="L757" t="b">
        <v>0</v>
      </c>
      <c r="M757" t="b">
        <v>0</v>
      </c>
      <c r="N757" t="inlineStr">
        <is>
          <t>alt</t>
        </is>
      </c>
      <c r="O757" t="n">
        <v>-80</v>
      </c>
      <c r="P757" t="n">
        <v>0.01523</v>
      </c>
      <c r="Q757" t="n">
        <v>40</v>
      </c>
      <c r="R757" t="n">
        <v>0.07904</v>
      </c>
      <c r="S757">
        <f>IMAGE("https://mitra.stanford.edu/kundaje/oak/projects/neuro-variants/variant_position/credible/roussos_2024/variant_figures/roussos_2024.childhood.Astrocyte/rs11056556_count_position.png",4,220,900)</f>
        <v/>
      </c>
      <c r="T757">
        <f>IMAGE("https://mitra.stanford.edu/kundaje/oak/projects/neuro-variants/variant_position/credible/roussos_2024/variant_figures/roussos_2024.childhood.Astrocyte/rs11056556_profile_position.png",4,220,900)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0.144226833</v>
      </c>
      <c r="G758" t="n">
        <v>0.0336586504156182</v>
      </c>
      <c r="H758" t="n">
        <v>0.0303332544818294</v>
      </c>
      <c r="I758" t="n">
        <v>0.029518327848721</v>
      </c>
      <c r="J758" t="n">
        <v>0.0145351987970659</v>
      </c>
      <c r="K758" t="n">
        <v>0.6503734119254925</v>
      </c>
      <c r="L758" t="b">
        <v>0</v>
      </c>
      <c r="M758" t="b">
        <v>0</v>
      </c>
      <c r="N758" t="inlineStr">
        <is>
          <t>alt</t>
        </is>
      </c>
      <c r="O758" t="n">
        <v>90</v>
      </c>
      <c r="P758" t="n">
        <v>0.0204</v>
      </c>
      <c r="Q758" t="n">
        <v>-100</v>
      </c>
      <c r="R758" t="n">
        <v>0.1698</v>
      </c>
      <c r="S758">
        <f>IMAGE("https://mitra.stanford.edu/kundaje/oak/projects/neuro-variants/variant_position/credible/roussos_2024/variant_figures/roussos_2024.childhood.Astrocyte/rs10846207_count_position.png",4,220,900)</f>
        <v/>
      </c>
      <c r="T758">
        <f>IMAGE("https://mitra.stanford.edu/kundaje/oak/projects/neuro-variants/variant_position/credible/roussos_2024/variant_figures/roussos_2024.childhood.Astrocyte/rs10846207_profile_position.png",4,220,900)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0.0023613930679999</v>
      </c>
      <c r="G759" t="n">
        <v>0.7737837723972401</v>
      </c>
      <c r="H759" t="n">
        <v>0.0260977935330241</v>
      </c>
      <c r="I759" t="n">
        <v>0.0506066962926354</v>
      </c>
      <c r="J759" t="n">
        <v>0.004976605375039</v>
      </c>
      <c r="K759" t="n">
        <v>0.7734654289873609</v>
      </c>
      <c r="L759" t="b">
        <v>0</v>
      </c>
      <c r="M759" t="b">
        <v>0</v>
      </c>
      <c r="N759" t="inlineStr">
        <is>
          <t>alt</t>
        </is>
      </c>
      <c r="O759" t="n">
        <v>-65</v>
      </c>
      <c r="P759" t="n">
        <v>0.01416</v>
      </c>
      <c r="Q759" t="n">
        <v>-70</v>
      </c>
      <c r="R759" t="n">
        <v>0.0747</v>
      </c>
      <c r="S759">
        <f>IMAGE("https://mitra.stanford.edu/kundaje/oak/projects/neuro-variants/variant_position/credible/roussos_2024/variant_figures/roussos_2024.childhood.Astrocyte/rs11046902_count_position.png",4,220,900)</f>
        <v/>
      </c>
      <c r="T759">
        <f>IMAGE("https://mitra.stanford.edu/kundaje/oak/projects/neuro-variants/variant_position/credible/roussos_2024/variant_figures/roussos_2024.childhood.Astrocyte/rs11046902_profile_position.png",4,220,900)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-0.0319406038</v>
      </c>
      <c r="G760" t="n">
        <v>0.3646070899127144</v>
      </c>
      <c r="H760" t="n">
        <v>0.0353792347657828</v>
      </c>
      <c r="I760" t="n">
        <v>0.0159573937449291</v>
      </c>
      <c r="J760" t="n">
        <v>0.000284704571302</v>
      </c>
      <c r="K760" t="n">
        <v>0.9642880919545176</v>
      </c>
      <c r="L760" t="b">
        <v>0</v>
      </c>
      <c r="M760" t="b">
        <v>0</v>
      </c>
      <c r="N760" t="inlineStr">
        <is>
          <t>ref</t>
        </is>
      </c>
      <c r="O760" t="n">
        <v>-10</v>
      </c>
      <c r="P760" t="n">
        <v>0.001923</v>
      </c>
      <c r="Q760" t="n">
        <v>95</v>
      </c>
      <c r="R760" t="n">
        <v>0.08359999999999999</v>
      </c>
      <c r="S760">
        <f>IMAGE("https://mitra.stanford.edu/kundaje/oak/projects/neuro-variants/variant_position/credible/roussos_2024/variant_figures/roussos_2024.childhood.Astrocyte/rs2418108_count_position.png",4,220,900)</f>
        <v/>
      </c>
      <c r="T760">
        <f>IMAGE("https://mitra.stanford.edu/kundaje/oak/projects/neuro-variants/variant_position/credible/roussos_2024/variant_figures/roussos_2024.childhood.Astrocyte/rs2418108_profile_position.png",4,220,900)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-0.00145630394</v>
      </c>
      <c r="G761" t="n">
        <v>0.7002759657083363</v>
      </c>
      <c r="H761" t="n">
        <v>0.0099040174706417</v>
      </c>
      <c r="I761" t="n">
        <v>0.7085019517412624</v>
      </c>
      <c r="J761" t="n">
        <v>0.0020578110569179</v>
      </c>
      <c r="K761" t="n">
        <v>0.8548883313069109</v>
      </c>
      <c r="L761" t="b">
        <v>0</v>
      </c>
      <c r="M761" t="b">
        <v>0</v>
      </c>
      <c r="N761" t="inlineStr">
        <is>
          <t>ref</t>
        </is>
      </c>
      <c r="O761" t="n">
        <v>-75</v>
      </c>
      <c r="P761" t="n">
        <v>0.01596</v>
      </c>
      <c r="Q761" t="n">
        <v>-100</v>
      </c>
      <c r="R761" t="n">
        <v>0.12115</v>
      </c>
      <c r="S761">
        <f>IMAGE("https://mitra.stanford.edu/kundaje/oak/projects/neuro-variants/variant_position/credible/roussos_2024/variant_figures/roussos_2024.childhood.Astrocyte/rs77777611_count_position.png",4,220,900)</f>
        <v/>
      </c>
      <c r="T761">
        <f>IMAGE("https://mitra.stanford.edu/kundaje/oak/projects/neuro-variants/variant_position/credible/roussos_2024/variant_figures/roussos_2024.childhood.Astrocyte/rs77777611_profile_position.png",4,220,900)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-0.106559336</v>
      </c>
      <c r="G762" t="n">
        <v>0.06519254660902971</v>
      </c>
      <c r="H762" t="n">
        <v>0.0131141549623326</v>
      </c>
      <c r="I762" t="n">
        <v>0.4318264129204405</v>
      </c>
      <c r="J762" t="n">
        <v>0.0055223527436208</v>
      </c>
      <c r="K762" t="n">
        <v>0.7610461636810534</v>
      </c>
      <c r="L762" t="b">
        <v>0</v>
      </c>
      <c r="M762" t="b">
        <v>0</v>
      </c>
      <c r="N762" t="inlineStr">
        <is>
          <t>ref</t>
        </is>
      </c>
      <c r="O762" t="n">
        <v>-100</v>
      </c>
      <c r="P762" t="n">
        <v>0.00388</v>
      </c>
      <c r="Q762" t="n">
        <v>-5</v>
      </c>
      <c r="R762" t="n">
        <v>0.005882</v>
      </c>
      <c r="S762">
        <f>IMAGE("https://mitra.stanford.edu/kundaje/oak/projects/neuro-variants/variant_position/credible/roussos_2024/variant_figures/roussos_2024.childhood.Astrocyte/rs11612157_count_position.png",4,220,900)</f>
        <v/>
      </c>
      <c r="T762">
        <f>IMAGE("https://mitra.stanford.edu/kundaje/oak/projects/neuro-variants/variant_position/credible/roussos_2024/variant_figures/roussos_2024.childhood.Astrocyte/rs11612157_profile_position.png",4,220,900)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-0.102065466</v>
      </c>
      <c r="G763" t="n">
        <v>0.0679979031260534</v>
      </c>
      <c r="H763" t="n">
        <v>0.0257036995413036</v>
      </c>
      <c r="I763" t="n">
        <v>0.0543741646750996</v>
      </c>
      <c r="J763" t="n">
        <v>0.08933311961408399</v>
      </c>
      <c r="K763" t="n">
        <v>0.3564667108220816</v>
      </c>
      <c r="L763" t="b">
        <v>0</v>
      </c>
      <c r="M763" t="b">
        <v>0</v>
      </c>
      <c r="N763" t="inlineStr">
        <is>
          <t>ref</t>
        </is>
      </c>
      <c r="O763" t="n">
        <v>55</v>
      </c>
      <c r="P763" t="n">
        <v>0.00476</v>
      </c>
      <c r="Q763" t="n">
        <v>5</v>
      </c>
      <c r="R763" t="n">
        <v>0.01465</v>
      </c>
      <c r="S763">
        <f>IMAGE("https://mitra.stanford.edu/kundaje/oak/projects/neuro-variants/variant_position/credible/roussos_2024/variant_figures/roussos_2024.childhood.Astrocyte/rs17468457_count_position.png",4,220,900)</f>
        <v/>
      </c>
      <c r="T763">
        <f>IMAGE("https://mitra.stanford.edu/kundaje/oak/projects/neuro-variants/variant_position/credible/roussos_2024/variant_figures/roussos_2024.childhood.Astrocyte/rs17468457_profile_position.png",4,220,900)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0.1328811111999999</v>
      </c>
      <c r="G764" t="n">
        <v>0.0441296139409055</v>
      </c>
      <c r="H764" t="n">
        <v>0.0139772402750742</v>
      </c>
      <c r="I764" t="n">
        <v>0.3534143946606858</v>
      </c>
      <c r="J764" t="n">
        <v>0.0517803576744292</v>
      </c>
      <c r="K764" t="n">
        <v>0.4411176008480306</v>
      </c>
      <c r="L764" t="b">
        <v>0</v>
      </c>
      <c r="M764" t="b">
        <v>0</v>
      </c>
      <c r="N764" t="inlineStr">
        <is>
          <t>alt</t>
        </is>
      </c>
      <c r="O764" t="n">
        <v>100</v>
      </c>
      <c r="P764" t="n">
        <v>0.004536</v>
      </c>
      <c r="Q764" t="n">
        <v>35</v>
      </c>
      <c r="R764" t="n">
        <v>0.07324</v>
      </c>
      <c r="S764">
        <f>IMAGE("https://mitra.stanford.edu/kundaje/oak/projects/neuro-variants/variant_position/credible/roussos_2024/variant_figures/roussos_2024.childhood.Astrocyte/rs17383970_count_position.png",4,220,900)</f>
        <v/>
      </c>
      <c r="T764">
        <f>IMAGE("https://mitra.stanford.edu/kundaje/oak/projects/neuro-variants/variant_position/credible/roussos_2024/variant_figures/roussos_2024.childhood.Astrocyte/rs17383970_profile_position.png",4,220,900)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0.006787907174</v>
      </c>
      <c r="G765" t="n">
        <v>0.7757356414285015</v>
      </c>
      <c r="H765" t="n">
        <v>0.0248074391313723</v>
      </c>
      <c r="I765" t="n">
        <v>0.0618518186088015</v>
      </c>
      <c r="J765" t="n">
        <v>0.0365734698083396</v>
      </c>
      <c r="K765" t="n">
        <v>0.5095541486903635</v>
      </c>
      <c r="L765" t="b">
        <v>0</v>
      </c>
      <c r="M765" t="b">
        <v>0</v>
      </c>
      <c r="N765" t="inlineStr">
        <is>
          <t>alt</t>
        </is>
      </c>
      <c r="O765" t="n">
        <v>55</v>
      </c>
      <c r="P765" t="n">
        <v>0.1667</v>
      </c>
      <c r="Q765" t="n">
        <v>70</v>
      </c>
      <c r="R765" t="n">
        <v>0.2079</v>
      </c>
      <c r="S765">
        <f>IMAGE("https://mitra.stanford.edu/kundaje/oak/projects/neuro-variants/variant_position/credible/roussos_2024/variant_figures/roussos_2024.childhood.Astrocyte/rs73091330_count_position.png",4,220,900)</f>
        <v/>
      </c>
      <c r="T765">
        <f>IMAGE("https://mitra.stanford.edu/kundaje/oak/projects/neuro-variants/variant_position/credible/roussos_2024/variant_figures/roussos_2024.childhood.Astrocyte/rs73091330_profile_position.png",4,220,900)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-0.0961642462</v>
      </c>
      <c r="G766" t="n">
        <v>0.0810854399438892</v>
      </c>
      <c r="H766" t="n">
        <v>0.0185951766472765</v>
      </c>
      <c r="I766" t="n">
        <v>0.1606056498053488</v>
      </c>
      <c r="J766" t="n">
        <v>0.0666628502515017</v>
      </c>
      <c r="K766" t="n">
        <v>0.3984232492200103</v>
      </c>
      <c r="L766" t="b">
        <v>0</v>
      </c>
      <c r="M766" t="b">
        <v>0</v>
      </c>
      <c r="N766" t="inlineStr">
        <is>
          <t>ref</t>
        </is>
      </c>
      <c r="O766" t="n">
        <v>-15</v>
      </c>
      <c r="P766" t="n">
        <v>0.00388</v>
      </c>
      <c r="Q766" t="n">
        <v>100</v>
      </c>
      <c r="R766" t="n">
        <v>0.2495</v>
      </c>
      <c r="S766">
        <f>IMAGE("https://mitra.stanford.edu/kundaje/oak/projects/neuro-variants/variant_position/credible/roussos_2024/variant_figures/roussos_2024.childhood.Astrocyte/rs73091349_count_position.png",4,220,900)</f>
        <v/>
      </c>
      <c r="T766">
        <f>IMAGE("https://mitra.stanford.edu/kundaje/oak/projects/neuro-variants/variant_position/credible/roussos_2024/variant_figures/roussos_2024.childhood.Astrocyte/rs73091349_profile_position.png",4,220,900)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-0.001739322446</v>
      </c>
      <c r="G767" t="n">
        <v>0.9006446820044764</v>
      </c>
      <c r="H767" t="n">
        <v>0.0291554904828498</v>
      </c>
      <c r="I767" t="n">
        <v>0.0330143666609558</v>
      </c>
      <c r="J767" t="n">
        <v>0.0156785967804721</v>
      </c>
      <c r="K767" t="n">
        <v>0.630790929346064</v>
      </c>
      <c r="L767" t="b">
        <v>0</v>
      </c>
      <c r="M767" t="b">
        <v>0</v>
      </c>
      <c r="N767" t="inlineStr">
        <is>
          <t>ref</t>
        </is>
      </c>
      <c r="O767" t="n">
        <v>-70</v>
      </c>
      <c r="P767" t="n">
        <v>0.01254</v>
      </c>
      <c r="Q767" t="n">
        <v>100</v>
      </c>
      <c r="R767" t="n">
        <v>0.0791</v>
      </c>
      <c r="S767">
        <f>IMAGE("https://mitra.stanford.edu/kundaje/oak/projects/neuro-variants/variant_position/credible/roussos_2024/variant_figures/roussos_2024.childhood.Astrocyte/rs76571125_count_position.png",4,220,900)</f>
        <v/>
      </c>
      <c r="T767">
        <f>IMAGE("https://mitra.stanford.edu/kundaje/oak/projects/neuro-variants/variant_position/credible/roussos_2024/variant_figures/roussos_2024.childhood.Astrocyte/rs76571125_profile_position.png",4,220,900)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0.145517003</v>
      </c>
      <c r="G768" t="n">
        <v>0.0336915084969859</v>
      </c>
      <c r="H768" t="n">
        <v>0.0253891003297482</v>
      </c>
      <c r="I768" t="n">
        <v>0.0550561554340614</v>
      </c>
      <c r="J768" t="n">
        <v>0.0329974887988214</v>
      </c>
      <c r="K768" t="n">
        <v>0.5106738784622238</v>
      </c>
      <c r="L768" t="b">
        <v>0</v>
      </c>
      <c r="M768" t="b">
        <v>0</v>
      </c>
      <c r="N768" t="inlineStr">
        <is>
          <t>alt</t>
        </is>
      </c>
      <c r="O768" t="n">
        <v>-35</v>
      </c>
      <c r="P768" t="n">
        <v>0.006714</v>
      </c>
      <c r="Q768" t="n">
        <v>-15</v>
      </c>
      <c r="R768" t="n">
        <v>0.03625</v>
      </c>
      <c r="S768">
        <f>IMAGE("https://mitra.stanford.edu/kundaje/oak/projects/neuro-variants/variant_position/credible/roussos_2024/variant_figures/roussos_2024.childhood.Astrocyte/rs73091376_count_position.png",4,220,900)</f>
        <v/>
      </c>
      <c r="T768">
        <f>IMAGE("https://mitra.stanford.edu/kundaje/oak/projects/neuro-variants/variant_position/credible/roussos_2024/variant_figures/roussos_2024.childhood.Astrocyte/rs73091376_profile_position.png",4,220,900)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-0.00810825672</v>
      </c>
      <c r="G769" t="n">
        <v>0.7508831401892553</v>
      </c>
      <c r="H769" t="n">
        <v>0.0377522817732785</v>
      </c>
      <c r="I769" t="n">
        <v>0.0124469303750316</v>
      </c>
      <c r="J769" t="n">
        <v>0.0006182592567149</v>
      </c>
      <c r="K769" t="n">
        <v>0.9368564047660474</v>
      </c>
      <c r="L769" t="b">
        <v>0</v>
      </c>
      <c r="M769" t="b">
        <v>0</v>
      </c>
      <c r="N769" t="inlineStr">
        <is>
          <t>ref</t>
        </is>
      </c>
      <c r="O769" t="n">
        <v>80</v>
      </c>
      <c r="P769" t="n">
        <v>0.005978</v>
      </c>
      <c r="Q769" t="n">
        <v>-75</v>
      </c>
      <c r="R769" t="n">
        <v>0.10535</v>
      </c>
      <c r="S769">
        <f>IMAGE("https://mitra.stanford.edu/kundaje/oak/projects/neuro-variants/variant_position/credible/roussos_2024/variant_figures/roussos_2024.childhood.Astrocyte/rs73073805_count_position.png",4,220,900)</f>
        <v/>
      </c>
      <c r="T769">
        <f>IMAGE("https://mitra.stanford.edu/kundaje/oak/projects/neuro-variants/variant_position/credible/roussos_2024/variant_figures/roussos_2024.childhood.Astrocyte/rs73073805_profile_position.png",4,220,900)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0.008498182179999999</v>
      </c>
      <c r="G770" t="n">
        <v>0.7632019210468717</v>
      </c>
      <c r="H770" t="n">
        <v>0.0119478287234832</v>
      </c>
      <c r="I770" t="n">
        <v>0.5205643094293775</v>
      </c>
      <c r="J770" t="n">
        <v>0.0070443391113858</v>
      </c>
      <c r="K770" t="n">
        <v>0.729535117547184</v>
      </c>
      <c r="L770" t="b">
        <v>0</v>
      </c>
      <c r="M770" t="b">
        <v>0</v>
      </c>
      <c r="N770" t="inlineStr">
        <is>
          <t>alt</t>
        </is>
      </c>
      <c r="O770" t="n">
        <v>45</v>
      </c>
      <c r="P770" t="n">
        <v>0.009766</v>
      </c>
      <c r="Q770" t="n">
        <v>-15</v>
      </c>
      <c r="R770" t="n">
        <v>0.002808</v>
      </c>
      <c r="S770">
        <f>IMAGE("https://mitra.stanford.edu/kundaje/oak/projects/neuro-variants/variant_position/credible/roussos_2024/variant_figures/roussos_2024.childhood.Astrocyte/rs10843507_count_position.png",4,220,900)</f>
        <v/>
      </c>
      <c r="T770">
        <f>IMAGE("https://mitra.stanford.edu/kundaje/oak/projects/neuro-variants/variant_position/credible/roussos_2024/variant_figures/roussos_2024.childhood.Astrocyte/rs10843507_profile_position.png",4,220,900)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0.0334572749999999</v>
      </c>
      <c r="G771" t="n">
        <v>0.3474821514506635</v>
      </c>
      <c r="H771" t="n">
        <v>0.0154092902017467</v>
      </c>
      <c r="I771" t="n">
        <v>0.2842743924787769</v>
      </c>
      <c r="J771" t="n">
        <v>5.03766801767638e-05</v>
      </c>
      <c r="K771" t="n">
        <v>0.9959566201545756</v>
      </c>
      <c r="L771" t="b">
        <v>0</v>
      </c>
      <c r="M771" t="b">
        <v>0</v>
      </c>
      <c r="N771" t="inlineStr">
        <is>
          <t>alt</t>
        </is>
      </c>
      <c r="O771" t="n">
        <v>80</v>
      </c>
      <c r="P771" t="n">
        <v>0.001879</v>
      </c>
      <c r="Q771" t="n">
        <v>-95</v>
      </c>
      <c r="R771" t="n">
        <v>0.0287</v>
      </c>
      <c r="S771">
        <f>IMAGE("https://mitra.stanford.edu/kundaje/oak/projects/neuro-variants/variant_position/credible/roussos_2024/variant_figures/roussos_2024.childhood.Astrocyte/rs7316162_count_position.png",4,220,900)</f>
        <v/>
      </c>
      <c r="T771">
        <f>IMAGE("https://mitra.stanford.edu/kundaje/oak/projects/neuro-variants/variant_position/credible/roussos_2024/variant_figures/roussos_2024.childhood.Astrocyte/rs7316162_profile_position.png",4,220,900)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0.0010710133599999</v>
      </c>
      <c r="G772" t="n">
        <v>0.7648779638902991</v>
      </c>
      <c r="H772" t="n">
        <v>0.0072648560563662</v>
      </c>
      <c r="I772" t="n">
        <v>0.9510875312855362</v>
      </c>
      <c r="J772" t="n">
        <v>3.587430255012861e-05</v>
      </c>
      <c r="K772" t="n">
        <v>0.9980679357726048</v>
      </c>
      <c r="L772" t="b">
        <v>0</v>
      </c>
      <c r="M772" t="b">
        <v>0</v>
      </c>
      <c r="N772" t="inlineStr">
        <is>
          <t>alt</t>
        </is>
      </c>
      <c r="O772" t="n">
        <v>40</v>
      </c>
      <c r="P772" t="n">
        <v>0.0007715000000000001</v>
      </c>
      <c r="Q772" t="n">
        <v>100</v>
      </c>
      <c r="R772" t="n">
        <v>0.05875</v>
      </c>
      <c r="S772">
        <f>IMAGE("https://mitra.stanford.edu/kundaje/oak/projects/neuro-variants/variant_position/credible/roussos_2024/variant_figures/roussos_2024.childhood.Astrocyte/rs302350_count_position.png",4,220,900)</f>
        <v/>
      </c>
      <c r="T772">
        <f>IMAGE("https://mitra.stanford.edu/kundaje/oak/projects/neuro-variants/variant_position/credible/roussos_2024/variant_figures/roussos_2024.childhood.Astrocyte/rs302350_profile_position.png",4,220,900)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0.0137252307999999</v>
      </c>
      <c r="G773" t="n">
        <v>0.6277089440923659</v>
      </c>
      <c r="H773" t="n">
        <v>0.0406108124138284</v>
      </c>
      <c r="I773" t="n">
        <v>0.009161946177020101</v>
      </c>
      <c r="J773" t="n">
        <v>0.0066901757840824</v>
      </c>
      <c r="K773" t="n">
        <v>0.7520488528079314</v>
      </c>
      <c r="L773" t="b">
        <v>0</v>
      </c>
      <c r="M773" t="b">
        <v>0</v>
      </c>
      <c r="N773" t="inlineStr">
        <is>
          <t>alt</t>
        </is>
      </c>
      <c r="O773" t="n">
        <v>25</v>
      </c>
      <c r="P773" t="n">
        <v>0.001251</v>
      </c>
      <c r="Q773" t="n">
        <v>-35</v>
      </c>
      <c r="R773" t="n">
        <v>0.0614</v>
      </c>
      <c r="S773">
        <f>IMAGE("https://mitra.stanford.edu/kundaje/oak/projects/neuro-variants/variant_position/credible/roussos_2024/variant_figures/roussos_2024.childhood.Astrocyte/rs369003_count_position.png",4,220,900)</f>
        <v/>
      </c>
      <c r="T773">
        <f>IMAGE("https://mitra.stanford.edu/kundaje/oak/projects/neuro-variants/variant_position/credible/roussos_2024/variant_figures/roussos_2024.childhood.Astrocyte/rs369003_profile_position.png",4,220,900)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-0.0344019112</v>
      </c>
      <c r="G774" t="n">
        <v>0.3068977157012246</v>
      </c>
      <c r="H774" t="n">
        <v>0.0111657564901013</v>
      </c>
      <c r="I774" t="n">
        <v>0.58034543705668</v>
      </c>
      <c r="J774" t="n">
        <v>0.0458962087731751</v>
      </c>
      <c r="K774" t="n">
        <v>0.4749961960478099</v>
      </c>
      <c r="L774" t="b">
        <v>0</v>
      </c>
      <c r="M774" t="b">
        <v>0</v>
      </c>
      <c r="N774" t="inlineStr">
        <is>
          <t>ref</t>
        </is>
      </c>
      <c r="O774" t="n">
        <v>-55</v>
      </c>
      <c r="P774" t="n">
        <v>0.009950000000000001</v>
      </c>
      <c r="Q774" t="n">
        <v>-55</v>
      </c>
      <c r="R774" t="n">
        <v>0.09705</v>
      </c>
      <c r="S774">
        <f>IMAGE("https://mitra.stanford.edu/kundaje/oak/projects/neuro-variants/variant_position/credible/roussos_2024/variant_figures/roussos_2024.childhood.Astrocyte/rs625430_count_position.png",4,220,900)</f>
        <v/>
      </c>
      <c r="T774">
        <f>IMAGE("https://mitra.stanford.edu/kundaje/oak/projects/neuro-variants/variant_position/credible/roussos_2024/variant_figures/roussos_2024.childhood.Astrocyte/rs625430_profile_position.png",4,220,900)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-0.1107105298</v>
      </c>
      <c r="G775" t="n">
        <v>0.0678100830221005</v>
      </c>
      <c r="H775" t="n">
        <v>0.0164140352539059</v>
      </c>
      <c r="I775" t="n">
        <v>0.2418335244860383</v>
      </c>
      <c r="J775" t="n">
        <v>0.016215948035691</v>
      </c>
      <c r="K775" t="n">
        <v>0.6291269012035487</v>
      </c>
      <c r="L775" t="b">
        <v>0</v>
      </c>
      <c r="M775" t="b">
        <v>0</v>
      </c>
      <c r="N775" t="inlineStr">
        <is>
          <t>ref</t>
        </is>
      </c>
      <c r="O775" t="n">
        <v>-30</v>
      </c>
      <c r="P775" t="n">
        <v>0.001677</v>
      </c>
      <c r="Q775" t="n">
        <v>-30</v>
      </c>
      <c r="R775" t="n">
        <v>0.0415</v>
      </c>
      <c r="S775">
        <f>IMAGE("https://mitra.stanford.edu/kundaje/oak/projects/neuro-variants/variant_position/credible/roussos_2024/variant_figures/roussos_2024.childhood.Astrocyte/rs58304678_count_position.png",4,220,900)</f>
        <v/>
      </c>
      <c r="T775">
        <f>IMAGE("https://mitra.stanford.edu/kundaje/oak/projects/neuro-variants/variant_position/credible/roussos_2024/variant_figures/roussos_2024.childhood.Astrocyte/rs58304678_profile_position.png",4,220,900)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-0.1038698096</v>
      </c>
      <c r="G776" t="n">
        <v>0.0731752342951365</v>
      </c>
      <c r="H776" t="n">
        <v>0.0261096249476594</v>
      </c>
      <c r="I776" t="n">
        <v>0.051068168114983</v>
      </c>
      <c r="J776" t="n">
        <v>0.0722371062413653</v>
      </c>
      <c r="K776" t="n">
        <v>0.3869351722257176</v>
      </c>
      <c r="L776" t="b">
        <v>0</v>
      </c>
      <c r="M776" t="b">
        <v>0</v>
      </c>
      <c r="N776" t="inlineStr">
        <is>
          <t>ref</t>
        </is>
      </c>
      <c r="O776" t="n">
        <v>70</v>
      </c>
      <c r="P776" t="n">
        <v>0.008319999999999999</v>
      </c>
      <c r="Q776" t="n">
        <v>60</v>
      </c>
      <c r="R776" t="n">
        <v>0.0989</v>
      </c>
      <c r="S776">
        <f>IMAGE("https://mitra.stanford.edu/kundaje/oak/projects/neuro-variants/variant_position/credible/roussos_2024/variant_figures/roussos_2024.childhood.Astrocyte/rs10431276_count_position.png",4,220,900)</f>
        <v/>
      </c>
      <c r="T776">
        <f>IMAGE("https://mitra.stanford.edu/kundaje/oak/projects/neuro-variants/variant_position/credible/roussos_2024/variant_figures/roussos_2024.childhood.Astrocyte/rs10431276_profile_position.png",4,220,900)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-0.009980528334</v>
      </c>
      <c r="G777" t="n">
        <v>0.6878238436567647</v>
      </c>
      <c r="H777" t="n">
        <v>0.0091681702733723</v>
      </c>
      <c r="I777" t="n">
        <v>0.7982566641136103</v>
      </c>
      <c r="J777" t="n">
        <v>0.0007762588445421</v>
      </c>
      <c r="K777" t="n">
        <v>0.9257948648418554</v>
      </c>
      <c r="L777" t="b">
        <v>0</v>
      </c>
      <c r="M777" t="b">
        <v>0</v>
      </c>
      <c r="N777" t="inlineStr">
        <is>
          <t>ref</t>
        </is>
      </c>
      <c r="O777" t="n">
        <v>-100</v>
      </c>
      <c r="P777" t="n">
        <v>0.01358</v>
      </c>
      <c r="Q777" t="n">
        <v>60</v>
      </c>
      <c r="R777" t="n">
        <v>0.06854</v>
      </c>
      <c r="S777">
        <f>IMAGE("https://mitra.stanford.edu/kundaje/oak/projects/neuro-variants/variant_position/credible/roussos_2024/variant_figures/roussos_2024.childhood.Astrocyte/rs12229602_count_position.png",4,220,900)</f>
        <v/>
      </c>
      <c r="T777">
        <f>IMAGE("https://mitra.stanford.edu/kundaje/oak/projects/neuro-variants/variant_position/credible/roussos_2024/variant_figures/roussos_2024.childhood.Astrocyte/rs12229602_profile_position.png",4,220,900)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-0.0609933096</v>
      </c>
      <c r="G778" t="n">
        <v>0.1439305030957336</v>
      </c>
      <c r="H778" t="n">
        <v>0.0198329315686994</v>
      </c>
      <c r="I778" t="n">
        <v>0.1304210618436078</v>
      </c>
      <c r="J778" t="n">
        <v>0.4688824773114118</v>
      </c>
      <c r="K778" t="n">
        <v>0.0637657791842114</v>
      </c>
      <c r="L778" t="b">
        <v>0</v>
      </c>
      <c r="M778" t="b">
        <v>0</v>
      </c>
      <c r="N778" t="inlineStr">
        <is>
          <t>ref</t>
        </is>
      </c>
      <c r="O778" t="n">
        <v>-5</v>
      </c>
      <c r="P778" t="n">
        <v>0.0007324</v>
      </c>
      <c r="Q778" t="n">
        <v>65</v>
      </c>
      <c r="R778" t="n">
        <v>0.05176</v>
      </c>
      <c r="S778">
        <f>IMAGE("https://mitra.stanford.edu/kundaje/oak/projects/neuro-variants/variant_position/credible/roussos_2024/variant_figures/roussos_2024.childhood.Astrocyte/rs10843539_count_position.png",4,220,900)</f>
        <v/>
      </c>
      <c r="T778">
        <f>IMAGE("https://mitra.stanford.edu/kundaje/oak/projects/neuro-variants/variant_position/credible/roussos_2024/variant_figures/roussos_2024.childhood.Astrocyte/rs10843539_profile_position.png",4,220,900)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0.02191550634</v>
      </c>
      <c r="G779" t="n">
        <v>0.4782703542816712</v>
      </c>
      <c r="H779" t="n">
        <v>0.0224702477147032</v>
      </c>
      <c r="I779" t="n">
        <v>0.08741938300950609</v>
      </c>
      <c r="J779" t="n">
        <v>0.0008831184691595</v>
      </c>
      <c r="K779" t="n">
        <v>0.9256605668332398</v>
      </c>
      <c r="L779" t="b">
        <v>0</v>
      </c>
      <c r="M779" t="b">
        <v>0</v>
      </c>
      <c r="N779" t="inlineStr">
        <is>
          <t>alt</t>
        </is>
      </c>
      <c r="O779" t="n">
        <v>35</v>
      </c>
      <c r="P779" t="n">
        <v>0.00453</v>
      </c>
      <c r="Q779" t="n">
        <v>-65</v>
      </c>
      <c r="R779" t="n">
        <v>0.11237</v>
      </c>
      <c r="S779">
        <f>IMAGE("https://mitra.stanford.edu/kundaje/oak/projects/neuro-variants/variant_position/credible/roussos_2024/variant_figures/roussos_2024.childhood.Astrocyte/rs2351015_count_position.png",4,220,900)</f>
        <v/>
      </c>
      <c r="T779">
        <f>IMAGE("https://mitra.stanford.edu/kundaje/oak/projects/neuro-variants/variant_position/credible/roussos_2024/variant_figures/roussos_2024.childhood.Astrocyte/rs2351015_profile_position.png",4,220,900)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-0.0179263964</v>
      </c>
      <c r="G780" t="n">
        <v>0.5681638771949821</v>
      </c>
      <c r="H780" t="n">
        <v>0.0241616824259319</v>
      </c>
      <c r="I780" t="n">
        <v>0.0667383704555255</v>
      </c>
      <c r="J780" t="n">
        <v>0.0183432178486104</v>
      </c>
      <c r="K780" t="n">
        <v>0.6040794207885347</v>
      </c>
      <c r="L780" t="b">
        <v>0</v>
      </c>
      <c r="M780" t="b">
        <v>0</v>
      </c>
      <c r="N780" t="inlineStr">
        <is>
          <t>ref</t>
        </is>
      </c>
      <c r="O780" t="n">
        <v>15</v>
      </c>
      <c r="P780" t="n">
        <v>0.004913</v>
      </c>
      <c r="Q780" t="n">
        <v>95</v>
      </c>
      <c r="R780" t="n">
        <v>0.02014</v>
      </c>
      <c r="S780">
        <f>IMAGE("https://mitra.stanford.edu/kundaje/oak/projects/neuro-variants/variant_position/credible/roussos_2024/variant_figures/roussos_2024.childhood.Astrocyte/rs4622345_count_position.png",4,220,900)</f>
        <v/>
      </c>
      <c r="T780">
        <f>IMAGE("https://mitra.stanford.edu/kundaje/oak/projects/neuro-variants/variant_position/credible/roussos_2024/variant_figures/roussos_2024.childhood.Astrocyte/rs4622345_profile_position.png",4,220,900)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0.0205003248</v>
      </c>
      <c r="G781" t="n">
        <v>0.5137855715020304</v>
      </c>
      <c r="H781" t="n">
        <v>0.0291204975165161</v>
      </c>
      <c r="I781" t="n">
        <v>0.0337901250728855</v>
      </c>
      <c r="J781" t="n">
        <v>0.0012884217596726</v>
      </c>
      <c r="K781" t="n">
        <v>0.8908971036669249</v>
      </c>
      <c r="L781" t="b">
        <v>0</v>
      </c>
      <c r="M781" t="b">
        <v>0</v>
      </c>
      <c r="N781" t="inlineStr">
        <is>
          <t>alt</t>
        </is>
      </c>
      <c r="O781" t="n">
        <v>15</v>
      </c>
      <c r="P781" t="n">
        <v>0.002592</v>
      </c>
      <c r="Q781" t="n">
        <v>35</v>
      </c>
      <c r="R781" t="n">
        <v>0.04773</v>
      </c>
      <c r="S781">
        <f>IMAGE("https://mitra.stanford.edu/kundaje/oak/projects/neuro-variants/variant_position/credible/roussos_2024/variant_figures/roussos_2024.childhood.Astrocyte/rs7970635_count_position.png",4,220,900)</f>
        <v/>
      </c>
      <c r="T781">
        <f>IMAGE("https://mitra.stanford.edu/kundaje/oak/projects/neuro-variants/variant_position/credible/roussos_2024/variant_figures/roussos_2024.childhood.Astrocyte/rs7970635_profile_position.png",4,220,900)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-0.0391049874</v>
      </c>
      <c r="G782" t="n">
        <v>0.301094122745319</v>
      </c>
      <c r="H782" t="n">
        <v>0.0116683761509094</v>
      </c>
      <c r="I782" t="n">
        <v>0.5411049453073774</v>
      </c>
      <c r="J782" t="n">
        <v>0.0035851404059138</v>
      </c>
      <c r="K782" t="n">
        <v>0.8052595080657802</v>
      </c>
      <c r="L782" t="b">
        <v>0</v>
      </c>
      <c r="M782" t="b">
        <v>0</v>
      </c>
      <c r="N782" t="inlineStr">
        <is>
          <t>ref</t>
        </is>
      </c>
      <c r="O782" t="n">
        <v>100</v>
      </c>
      <c r="P782" t="n">
        <v>0.005527</v>
      </c>
      <c r="Q782" t="n">
        <v>-100</v>
      </c>
      <c r="R782" t="n">
        <v>0.06560000000000001</v>
      </c>
      <c r="S782">
        <f>IMAGE("https://mitra.stanford.edu/kundaje/oak/projects/neuro-variants/variant_position/credible/roussos_2024/variant_figures/roussos_2024.childhood.Astrocyte/rs114974785_count_position.png",4,220,900)</f>
        <v/>
      </c>
      <c r="T782">
        <f>IMAGE("https://mitra.stanford.edu/kundaje/oak/projects/neuro-variants/variant_position/credible/roussos_2024/variant_figures/roussos_2024.childhood.Astrocyte/rs114974785_profile_position.png",4,220,900)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0.036760426</v>
      </c>
      <c r="G783" t="n">
        <v>0.1896011695514105</v>
      </c>
      <c r="H783" t="n">
        <v>0.0167644967014688</v>
      </c>
      <c r="I783" t="n">
        <v>0.2164864149005196</v>
      </c>
      <c r="J783" t="n">
        <v>0.649814140581469</v>
      </c>
      <c r="K783" t="n">
        <v>0.0246851458644059</v>
      </c>
      <c r="L783" t="b">
        <v>0</v>
      </c>
      <c r="M783" t="b">
        <v>0</v>
      </c>
      <c r="N783" t="inlineStr">
        <is>
          <t>alt</t>
        </is>
      </c>
      <c r="O783" t="n">
        <v>-70</v>
      </c>
      <c r="P783" t="n">
        <v>0.005127</v>
      </c>
      <c r="Q783" t="n">
        <v>30</v>
      </c>
      <c r="R783" t="n">
        <v>0.02441</v>
      </c>
      <c r="S783">
        <f>IMAGE("https://mitra.stanford.edu/kundaje/oak/projects/neuro-variants/variant_position/credible/roussos_2024/variant_figures/roussos_2024.childhood.Astrocyte/rs706790_count_position.png",4,220,900)</f>
        <v/>
      </c>
      <c r="T783">
        <f>IMAGE("https://mitra.stanford.edu/kundaje/oak/projects/neuro-variants/variant_position/credible/roussos_2024/variant_figures/roussos_2024.childhood.Astrocyte/rs706790_profile_position.png",4,220,900)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-0.0661529454</v>
      </c>
      <c r="G784" t="n">
        <v>0.1540565428590885</v>
      </c>
      <c r="H784" t="n">
        <v>0.0187982617644599</v>
      </c>
      <c r="I784" t="n">
        <v>0.1529244797071644</v>
      </c>
      <c r="J784" t="n">
        <v>0.3470228145298558</v>
      </c>
      <c r="K784" t="n">
        <v>0.1083047726738208</v>
      </c>
      <c r="L784" t="b">
        <v>0</v>
      </c>
      <c r="M784" t="b">
        <v>0</v>
      </c>
      <c r="N784" t="inlineStr">
        <is>
          <t>ref</t>
        </is>
      </c>
      <c r="O784" t="n">
        <v>50</v>
      </c>
      <c r="P784" t="n">
        <v>0.001144</v>
      </c>
      <c r="Q784" t="n">
        <v>-45</v>
      </c>
      <c r="R784" t="n">
        <v>0.0537</v>
      </c>
      <c r="S784">
        <f>IMAGE("https://mitra.stanford.edu/kundaje/oak/projects/neuro-variants/variant_position/credible/roussos_2024/variant_figures/roussos_2024.childhood.Astrocyte/rs7315690_count_position.png",4,220,900)</f>
        <v/>
      </c>
      <c r="T784">
        <f>IMAGE("https://mitra.stanford.edu/kundaje/oak/projects/neuro-variants/variant_position/credible/roussos_2024/variant_figures/roussos_2024.childhood.Astrocyte/rs7315690_profile_position.png",4,220,900)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0.1130151731999999</v>
      </c>
      <c r="G785" t="n">
        <v>0.0575448527899837</v>
      </c>
      <c r="H785" t="n">
        <v>0.0107483943155441</v>
      </c>
      <c r="I785" t="n">
        <v>0.641913600576507</v>
      </c>
      <c r="J785" t="n">
        <v>0.050634669841924</v>
      </c>
      <c r="K785" t="n">
        <v>0.448378784576427</v>
      </c>
      <c r="L785" t="b">
        <v>0</v>
      </c>
      <c r="M785" t="b">
        <v>0</v>
      </c>
      <c r="N785" t="inlineStr">
        <is>
          <t>alt</t>
        </is>
      </c>
      <c r="O785" t="n">
        <v>100</v>
      </c>
      <c r="P785" t="n">
        <v>0.0264</v>
      </c>
      <c r="Q785" t="n">
        <v>100</v>
      </c>
      <c r="R785" t="n">
        <v>0.3203</v>
      </c>
      <c r="S785">
        <f>IMAGE("https://mitra.stanford.edu/kundaje/oak/projects/neuro-variants/variant_position/credible/roussos_2024/variant_figures/roussos_2024.childhood.Astrocyte/rs7138420_count_position.png",4,220,900)</f>
        <v/>
      </c>
      <c r="T785">
        <f>IMAGE("https://mitra.stanford.edu/kundaje/oak/projects/neuro-variants/variant_position/credible/roussos_2024/variant_figures/roussos_2024.childhood.Astrocyte/rs7138420_profile_position.png",4,220,900)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0.0517170712</v>
      </c>
      <c r="G786" t="n">
        <v>0.2258780555559026</v>
      </c>
      <c r="H786" t="n">
        <v>0.0109130894463222</v>
      </c>
      <c r="I786" t="n">
        <v>0.618251808769875</v>
      </c>
      <c r="J786" t="n">
        <v>0.3426850770534221</v>
      </c>
      <c r="K786" t="n">
        <v>0.1105048719090017</v>
      </c>
      <c r="L786" t="b">
        <v>0</v>
      </c>
      <c r="M786" t="b">
        <v>0</v>
      </c>
      <c r="N786" t="inlineStr">
        <is>
          <t>alt</t>
        </is>
      </c>
      <c r="O786" t="n">
        <v>100</v>
      </c>
      <c r="P786" t="n">
        <v>0.0378</v>
      </c>
      <c r="Q786" t="n">
        <v>100</v>
      </c>
      <c r="R786" t="n">
        <v>0.2303</v>
      </c>
      <c r="S786">
        <f>IMAGE("https://mitra.stanford.edu/kundaje/oak/projects/neuro-variants/variant_position/credible/roussos_2024/variant_figures/roussos_2024.childhood.Astrocyte/rs12425229_count_position.png",4,220,900)</f>
        <v/>
      </c>
      <c r="T786">
        <f>IMAGE("https://mitra.stanford.edu/kundaje/oak/projects/neuro-variants/variant_position/credible/roussos_2024/variant_figures/roussos_2024.childhood.Astrocyte/rs12425229_profile_position.png",4,220,900)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0.0788003068</v>
      </c>
      <c r="G787" t="n">
        <v>0.1039636757191767</v>
      </c>
      <c r="H787" t="n">
        <v>0.0105280859531807</v>
      </c>
      <c r="I787" t="n">
        <v>0.6597155298664831</v>
      </c>
      <c r="J787" t="n">
        <v>0.0120949829406241</v>
      </c>
      <c r="K787" t="n">
        <v>0.6652931988366566</v>
      </c>
      <c r="L787" t="b">
        <v>0</v>
      </c>
      <c r="M787" t="b">
        <v>0</v>
      </c>
      <c r="N787" t="inlineStr">
        <is>
          <t>alt</t>
        </is>
      </c>
      <c r="O787" t="n">
        <v>-60</v>
      </c>
      <c r="P787" t="n">
        <v>0.006233</v>
      </c>
      <c r="Q787" t="n">
        <v>-5</v>
      </c>
      <c r="R787" t="n">
        <v>0.003784</v>
      </c>
      <c r="S787">
        <f>IMAGE("https://mitra.stanford.edu/kundaje/oak/projects/neuro-variants/variant_position/credible/roussos_2024/variant_figures/roussos_2024.childhood.Astrocyte/rs10783344_count_position.png",4,220,900)</f>
        <v/>
      </c>
      <c r="T787">
        <f>IMAGE("https://mitra.stanford.edu/kundaje/oak/projects/neuro-variants/variant_position/credible/roussos_2024/variant_figures/roussos_2024.childhood.Astrocyte/rs10783344_profile_position.png",4,220,900)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0.0609812645999999</v>
      </c>
      <c r="G788" t="n">
        <v>0.1578652980905824</v>
      </c>
      <c r="H788" t="n">
        <v>0.0117675152872262</v>
      </c>
      <c r="I788" t="n">
        <v>0.5290647306735309</v>
      </c>
      <c r="J788" t="n">
        <v>0.0370940288368329</v>
      </c>
      <c r="K788" t="n">
        <v>0.4968408102210667</v>
      </c>
      <c r="L788" t="b">
        <v>0</v>
      </c>
      <c r="M788" t="b">
        <v>0</v>
      </c>
      <c r="N788" t="inlineStr">
        <is>
          <t>alt</t>
        </is>
      </c>
      <c r="O788" t="n">
        <v>-100</v>
      </c>
      <c r="P788" t="n">
        <v>0.001007</v>
      </c>
      <c r="Q788" t="n">
        <v>-100</v>
      </c>
      <c r="R788" t="n">
        <v>0.1921</v>
      </c>
      <c r="S788">
        <f>IMAGE("https://mitra.stanford.edu/kundaje/oak/projects/neuro-variants/variant_position/credible/roussos_2024/variant_figures/roussos_2024.childhood.Astrocyte/rs1972611_count_position.png",4,220,900)</f>
        <v/>
      </c>
      <c r="T788">
        <f>IMAGE("https://mitra.stanford.edu/kundaje/oak/projects/neuro-variants/variant_position/credible/roussos_2024/variant_figures/roussos_2024.childhood.Astrocyte/rs1972611_profile_position.png",4,220,900)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-0.14703286</v>
      </c>
      <c r="G789" t="n">
        <v>0.0333127754403549</v>
      </c>
      <c r="H789" t="n">
        <v>0.0174765952818821</v>
      </c>
      <c r="I789" t="n">
        <v>0.2002706365303679</v>
      </c>
      <c r="J789" t="n">
        <v>0.0531664796623235</v>
      </c>
      <c r="K789" t="n">
        <v>0.4370953302531221</v>
      </c>
      <c r="L789" t="b">
        <v>0</v>
      </c>
      <c r="M789" t="b">
        <v>0</v>
      </c>
      <c r="N789" t="inlineStr">
        <is>
          <t>ref</t>
        </is>
      </c>
      <c r="O789" t="n">
        <v>-45</v>
      </c>
      <c r="P789" t="n">
        <v>0.01605</v>
      </c>
      <c r="Q789" t="n">
        <v>-45</v>
      </c>
      <c r="R789" t="n">
        <v>0.21</v>
      </c>
      <c r="S789">
        <f>IMAGE("https://mitra.stanford.edu/kundaje/oak/projects/neuro-variants/variant_position/credible/roussos_2024/variant_figures/roussos_2024.childhood.Astrocyte/rs67138019_count_position.png",4,220,900)</f>
        <v/>
      </c>
      <c r="T789">
        <f>IMAGE("https://mitra.stanford.edu/kundaje/oak/projects/neuro-variants/variant_position/credible/roussos_2024/variant_figures/roussos_2024.childhood.Astrocyte/rs67138019_profile_position.png",4,220,900)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-0.188178729</v>
      </c>
      <c r="G790" t="n">
        <v>0.020978540621047</v>
      </c>
      <c r="H790" t="n">
        <v>0.0252848552210253</v>
      </c>
      <c r="I790" t="n">
        <v>0.0566593146917414</v>
      </c>
      <c r="J790" t="n">
        <v>0.2932777663285322</v>
      </c>
      <c r="K790" t="n">
        <v>0.1367577681075075</v>
      </c>
      <c r="L790" t="b">
        <v>0</v>
      </c>
      <c r="M790" t="b">
        <v>0</v>
      </c>
      <c r="N790" t="inlineStr">
        <is>
          <t>ref</t>
        </is>
      </c>
      <c r="O790" t="n">
        <v>-45</v>
      </c>
      <c r="P790" t="n">
        <v>0.02367</v>
      </c>
      <c r="Q790" t="n">
        <v>-45</v>
      </c>
      <c r="R790" t="n">
        <v>0.2646</v>
      </c>
      <c r="S790">
        <f>IMAGE("https://mitra.stanford.edu/kundaje/oak/projects/neuro-variants/variant_position/credible/roussos_2024/variant_figures/roussos_2024.childhood.Astrocyte/rs12832940_count_position.png",4,220,900)</f>
        <v/>
      </c>
      <c r="T790">
        <f>IMAGE("https://mitra.stanford.edu/kundaje/oak/projects/neuro-variants/variant_position/credible/roussos_2024/variant_figures/roussos_2024.childhood.Astrocyte/rs12832940_profile_position.png",4,220,900)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-0.0122112647</v>
      </c>
      <c r="G791" t="n">
        <v>0.6710249362505299</v>
      </c>
      <c r="H791" t="n">
        <v>0.0350901170060981</v>
      </c>
      <c r="I791" t="n">
        <v>0.0161856311812815</v>
      </c>
      <c r="J791" t="n">
        <v>0.0011991176448138</v>
      </c>
      <c r="K791" t="n">
        <v>0.8889502752020132</v>
      </c>
      <c r="L791" t="b">
        <v>0</v>
      </c>
      <c r="M791" t="b">
        <v>0</v>
      </c>
      <c r="N791" t="inlineStr">
        <is>
          <t>ref</t>
        </is>
      </c>
      <c r="O791" t="n">
        <v>-75</v>
      </c>
      <c r="P791" t="n">
        <v>0.007034</v>
      </c>
      <c r="Q791" t="n">
        <v>-15</v>
      </c>
      <c r="R791" t="n">
        <v>0.00983</v>
      </c>
      <c r="S791">
        <f>IMAGE("https://mitra.stanford.edu/kundaje/oak/projects/neuro-variants/variant_position/credible/roussos_2024/variant_figures/roussos_2024.childhood.Astrocyte/rs7311973_count_position.png",4,220,900)</f>
        <v/>
      </c>
      <c r="T791">
        <f>IMAGE("https://mitra.stanford.edu/kundaje/oak/projects/neuro-variants/variant_position/credible/roussos_2024/variant_figures/roussos_2024.childhood.Astrocyte/rs7311973_profile_position.png",4,220,900)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0.0166286572</v>
      </c>
      <c r="G792" t="n">
        <v>0.5751974985474033</v>
      </c>
      <c r="H792" t="n">
        <v>0.0517043494456661</v>
      </c>
      <c r="I792" t="n">
        <v>0.0035758194266873</v>
      </c>
      <c r="J792" t="n">
        <v>0.0004694190652835</v>
      </c>
      <c r="K792" t="n">
        <v>0.9368263589362974</v>
      </c>
      <c r="L792" t="b">
        <v>0</v>
      </c>
      <c r="M792" t="b">
        <v>0</v>
      </c>
      <c r="N792" t="inlineStr">
        <is>
          <t>alt</t>
        </is>
      </c>
      <c r="O792" t="n">
        <v>-80</v>
      </c>
      <c r="P792" t="n">
        <v>0.005737</v>
      </c>
      <c r="Q792" t="n">
        <v>75</v>
      </c>
      <c r="R792" t="n">
        <v>0.0268</v>
      </c>
      <c r="S792">
        <f>IMAGE("https://mitra.stanford.edu/kundaje/oak/projects/neuro-variants/variant_position/credible/roussos_2024/variant_figures/roussos_2024.childhood.Astrocyte/rs11169393_count_position.png",4,220,900)</f>
        <v/>
      </c>
      <c r="T792">
        <f>IMAGE("https://mitra.stanford.edu/kundaje/oak/projects/neuro-variants/variant_position/credible/roussos_2024/variant_figures/roussos_2024.childhood.Astrocyte/rs11169393_profile_position.png",4,220,900)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0.0148491761</v>
      </c>
      <c r="G793" t="n">
        <v>0.6163427404333526</v>
      </c>
      <c r="H793" t="n">
        <v>0.0326672023624868</v>
      </c>
      <c r="I793" t="n">
        <v>0.0220886524327727</v>
      </c>
      <c r="J793" t="n">
        <v>0.0011403448512742</v>
      </c>
      <c r="K793" t="n">
        <v>0.8940619118446578</v>
      </c>
      <c r="L793" t="b">
        <v>0</v>
      </c>
      <c r="M793" t="b">
        <v>0</v>
      </c>
      <c r="N793" t="inlineStr">
        <is>
          <t>alt</t>
        </is>
      </c>
      <c r="O793" t="n">
        <v>-100</v>
      </c>
      <c r="P793" t="n">
        <v>0.01404</v>
      </c>
      <c r="Q793" t="n">
        <v>70</v>
      </c>
      <c r="R793" t="n">
        <v>0.10583</v>
      </c>
      <c r="S793">
        <f>IMAGE("https://mitra.stanford.edu/kundaje/oak/projects/neuro-variants/variant_position/credible/roussos_2024/variant_figures/roussos_2024.childhood.Astrocyte/rs12578525_count_position.png",4,220,900)</f>
        <v/>
      </c>
      <c r="T793">
        <f>IMAGE("https://mitra.stanford.edu/kundaje/oak/projects/neuro-variants/variant_position/credible/roussos_2024/variant_figures/roussos_2024.childhood.Astrocyte/rs12578525_profile_position.png",4,220,900)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-0.00039516046</v>
      </c>
      <c r="G794" t="n">
        <v>0.8408106608943241</v>
      </c>
      <c r="H794" t="n">
        <v>0.0324322379944077</v>
      </c>
      <c r="I794" t="n">
        <v>0.0218806979899028</v>
      </c>
      <c r="J794" t="n">
        <v>0.0008441910344774</v>
      </c>
      <c r="K794" t="n">
        <v>0.91271467857904</v>
      </c>
      <c r="L794" t="b">
        <v>0</v>
      </c>
      <c r="M794" t="b">
        <v>0</v>
      </c>
      <c r="N794" t="inlineStr">
        <is>
          <t>ref</t>
        </is>
      </c>
      <c r="O794" t="n">
        <v>-100</v>
      </c>
      <c r="P794" t="n">
        <v>0.005524</v>
      </c>
      <c r="Q794" t="n">
        <v>-80</v>
      </c>
      <c r="R794" t="n">
        <v>0.1101</v>
      </c>
      <c r="S794">
        <f>IMAGE("https://mitra.stanford.edu/kundaje/oak/projects/neuro-variants/variant_position/credible/roussos_2024/variant_figures/roussos_2024.childhood.Astrocyte/rs140587031_count_position.png",4,220,900)</f>
        <v/>
      </c>
      <c r="T794">
        <f>IMAGE("https://mitra.stanford.edu/kundaje/oak/projects/neuro-variants/variant_position/credible/roussos_2024/variant_figures/roussos_2024.childhood.Astrocyte/rs140587031_profile_position.png",4,220,900)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-0.193827868</v>
      </c>
      <c r="G795" t="n">
        <v>0.021149929206158</v>
      </c>
      <c r="H795" t="n">
        <v>0.0278728035495936</v>
      </c>
      <c r="I795" t="n">
        <v>0.0418365177766872</v>
      </c>
      <c r="J795" t="n">
        <v>0.4727095784387808</v>
      </c>
      <c r="K795" t="n">
        <v>0.0625828472498265</v>
      </c>
      <c r="L795" t="b">
        <v>0</v>
      </c>
      <c r="M795" t="b">
        <v>0</v>
      </c>
      <c r="N795" t="inlineStr">
        <is>
          <t>ref</t>
        </is>
      </c>
      <c r="O795" t="n">
        <v>-5</v>
      </c>
      <c r="P795" t="n">
        <v>0.0004883</v>
      </c>
      <c r="Q795" t="n">
        <v>-15</v>
      </c>
      <c r="R795" t="n">
        <v>0.02979</v>
      </c>
      <c r="S795">
        <f>IMAGE("https://mitra.stanford.edu/kundaje/oak/projects/neuro-variants/variant_position/credible/roussos_2024/variant_figures/roussos_2024.childhood.Astrocyte/rs61928076_count_position.png",4,220,900)</f>
        <v/>
      </c>
      <c r="T795">
        <f>IMAGE("https://mitra.stanford.edu/kundaje/oak/projects/neuro-variants/variant_position/credible/roussos_2024/variant_figures/roussos_2024.childhood.Astrocyte/rs61928076_profile_position.png",4,220,900)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0.06914736499999991</v>
      </c>
      <c r="G796" t="n">
        <v>0.1384667534573375</v>
      </c>
      <c r="H796" t="n">
        <v>0.009849578871911201</v>
      </c>
      <c r="I796" t="n">
        <v>0.728386072451178</v>
      </c>
      <c r="J796" t="n">
        <v>0.1327295764542449</v>
      </c>
      <c r="K796" t="n">
        <v>0.2730441592281379</v>
      </c>
      <c r="L796" t="b">
        <v>0</v>
      </c>
      <c r="M796" t="b">
        <v>0</v>
      </c>
      <c r="N796" t="inlineStr">
        <is>
          <t>alt</t>
        </is>
      </c>
      <c r="O796" t="n">
        <v>95</v>
      </c>
      <c r="P796" t="n">
        <v>0.0359</v>
      </c>
      <c r="Q796" t="n">
        <v>-80</v>
      </c>
      <c r="R796" t="n">
        <v>0.1403</v>
      </c>
      <c r="S796">
        <f>IMAGE("https://mitra.stanford.edu/kundaje/oak/projects/neuro-variants/variant_position/credible/roussos_2024/variant_figures/roussos_2024.childhood.Astrocyte/rs11170562_count_position.png",4,220,900)</f>
        <v/>
      </c>
      <c r="T796">
        <f>IMAGE("https://mitra.stanford.edu/kundaje/oak/projects/neuro-variants/variant_position/credible/roussos_2024/variant_figures/roussos_2024.childhood.Astrocyte/rs11170562_profile_position.png",4,220,900)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0.0676726876</v>
      </c>
      <c r="G797" t="n">
        <v>0.1414128974020211</v>
      </c>
      <c r="H797" t="n">
        <v>0.0104808849137176</v>
      </c>
      <c r="I797" t="n">
        <v>0.6474443364554933</v>
      </c>
      <c r="J797" t="n">
        <v>0.009505163609718001</v>
      </c>
      <c r="K797" t="n">
        <v>0.6996014925257795</v>
      </c>
      <c r="L797" t="b">
        <v>0</v>
      </c>
      <c r="M797" t="b">
        <v>0</v>
      </c>
      <c r="N797" t="inlineStr">
        <is>
          <t>alt</t>
        </is>
      </c>
      <c r="O797" t="n">
        <v>-10</v>
      </c>
      <c r="P797" t="n">
        <v>0.01636</v>
      </c>
      <c r="Q797" t="n">
        <v>-90</v>
      </c>
      <c r="R797" t="n">
        <v>0.174</v>
      </c>
      <c r="S797">
        <f>IMAGE("https://mitra.stanford.edu/kundaje/oak/projects/neuro-variants/variant_position/credible/roussos_2024/variant_figures/roussos_2024.childhood.Astrocyte/rs7307025_count_position.png",4,220,900)</f>
        <v/>
      </c>
      <c r="T797">
        <f>IMAGE("https://mitra.stanford.edu/kundaje/oak/projects/neuro-variants/variant_position/credible/roussos_2024/variant_figures/roussos_2024.childhood.Astrocyte/rs7307025_profile_position.png",4,220,900)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0.397562836</v>
      </c>
      <c r="G798" t="n">
        <v>0.0023541575166112</v>
      </c>
      <c r="H798" t="n">
        <v>0.0652823851460322</v>
      </c>
      <c r="I798" t="n">
        <v>0.0015773455118272</v>
      </c>
      <c r="J798" t="n">
        <v>0.1035866669719798</v>
      </c>
      <c r="K798" t="n">
        <v>0.3200335520506663</v>
      </c>
      <c r="L798" t="b">
        <v>1</v>
      </c>
      <c r="M798" t="b">
        <v>1</v>
      </c>
      <c r="N798" t="inlineStr">
        <is>
          <t>alt</t>
        </is>
      </c>
      <c r="O798" t="n">
        <v>-95</v>
      </c>
      <c r="P798" t="n">
        <v>0.03064</v>
      </c>
      <c r="Q798" t="n">
        <v>-100</v>
      </c>
      <c r="R798" t="n">
        <v>0.1011</v>
      </c>
      <c r="S798">
        <f>IMAGE("https://mitra.stanford.edu/kundaje/oak/projects/neuro-variants/variant_position/credible/roussos_2024/variant_figures/roussos_2024.childhood.Astrocyte/rs55844955_count_position.png",4,220,900)</f>
        <v/>
      </c>
      <c r="T798">
        <f>IMAGE("https://mitra.stanford.edu/kundaje/oak/projects/neuro-variants/variant_position/credible/roussos_2024/variant_figures/roussos_2024.childhood.Astrocyte/rs55844955_profile_position.png",4,220,900)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-0.221414502</v>
      </c>
      <c r="G799" t="n">
        <v>0.0154511309362974</v>
      </c>
      <c r="H799" t="n">
        <v>0.0345276906310108</v>
      </c>
      <c r="I799" t="n">
        <v>0.0195918470694999</v>
      </c>
      <c r="J799" t="n">
        <v>0.0760161205376565</v>
      </c>
      <c r="K799" t="n">
        <v>0.3811276048080311</v>
      </c>
      <c r="L799" t="b">
        <v>1</v>
      </c>
      <c r="M799" t="b">
        <v>0</v>
      </c>
      <c r="N799" t="inlineStr">
        <is>
          <t>ref</t>
        </is>
      </c>
      <c r="O799" t="n">
        <v>-15</v>
      </c>
      <c r="P799" t="n">
        <v>0.00894</v>
      </c>
      <c r="Q799" t="n">
        <v>-45</v>
      </c>
      <c r="R799" t="n">
        <v>0.07385</v>
      </c>
      <c r="S799">
        <f>IMAGE("https://mitra.stanford.edu/kundaje/oak/projects/neuro-variants/variant_position/credible/roussos_2024/variant_figures/roussos_2024.childhood.Astrocyte/rs7973727_count_position.png",4,220,900)</f>
        <v/>
      </c>
      <c r="T799">
        <f>IMAGE("https://mitra.stanford.edu/kundaje/oak/projects/neuro-variants/variant_position/credible/roussos_2024/variant_figures/roussos_2024.childhood.Astrocyte/rs7973727_profile_position.png",4,220,900)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0.0142699352</v>
      </c>
      <c r="G800" t="n">
        <v>0.612622305884475</v>
      </c>
      <c r="H800" t="n">
        <v>0.020086715093618</v>
      </c>
      <c r="I800" t="n">
        <v>0.125914945626813</v>
      </c>
      <c r="J800" t="n">
        <v>0.0273560639020554</v>
      </c>
      <c r="K800" t="n">
        <v>0.5436236763318379</v>
      </c>
      <c r="L800" t="b">
        <v>0</v>
      </c>
      <c r="M800" t="b">
        <v>0</v>
      </c>
      <c r="N800" t="inlineStr">
        <is>
          <t>alt</t>
        </is>
      </c>
      <c r="O800" t="n">
        <v>65</v>
      </c>
      <c r="P800" t="n">
        <v>0.009639999999999999</v>
      </c>
      <c r="Q800" t="n">
        <v>70</v>
      </c>
      <c r="R800" t="n">
        <v>0.1063</v>
      </c>
      <c r="S800">
        <f>IMAGE("https://mitra.stanford.edu/kundaje/oak/projects/neuro-variants/variant_position/credible/roussos_2024/variant_figures/roussos_2024.childhood.Astrocyte/rs61924145_count_position.png",4,220,900)</f>
        <v/>
      </c>
      <c r="T800">
        <f>IMAGE("https://mitra.stanford.edu/kundaje/oak/projects/neuro-variants/variant_position/credible/roussos_2024/variant_figures/roussos_2024.childhood.Astrocyte/rs61924145_profile_position.png",4,220,900)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0.000439004914</v>
      </c>
      <c r="G801" t="n">
        <v>0.8077965722109403</v>
      </c>
      <c r="H801" t="n">
        <v>0.007889794067581</v>
      </c>
      <c r="I801" t="n">
        <v>0.9063532102515284</v>
      </c>
      <c r="J801" t="n">
        <v>0.0058933082976498</v>
      </c>
      <c r="K801" t="n">
        <v>0.7534045291253845</v>
      </c>
      <c r="L801" t="b">
        <v>0</v>
      </c>
      <c r="M801" t="b">
        <v>0</v>
      </c>
      <c r="N801" t="inlineStr">
        <is>
          <t>alt</t>
        </is>
      </c>
      <c r="O801" t="n">
        <v>35</v>
      </c>
      <c r="P801" t="n">
        <v>0.001879</v>
      </c>
      <c r="Q801" t="n">
        <v>45</v>
      </c>
      <c r="R801" t="n">
        <v>0.04883</v>
      </c>
      <c r="S801">
        <f>IMAGE("https://mitra.stanford.edu/kundaje/oak/projects/neuro-variants/variant_position/credible/roussos_2024/variant_figures/roussos_2024.childhood.Astrocyte/rs12302711_count_position.png",4,220,900)</f>
        <v/>
      </c>
      <c r="T801">
        <f>IMAGE("https://mitra.stanford.edu/kundaje/oak/projects/neuro-variants/variant_position/credible/roussos_2024/variant_figures/roussos_2024.childhood.Astrocyte/rs12302711_profile_position.png",4,220,900)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-0.0298019322</v>
      </c>
      <c r="G802" t="n">
        <v>0.399291692720624</v>
      </c>
      <c r="H802" t="n">
        <v>0.0246030929930562</v>
      </c>
      <c r="I802" t="n">
        <v>0.0639500184087634</v>
      </c>
      <c r="J802" t="n">
        <v>0.0102386786044132</v>
      </c>
      <c r="K802" t="n">
        <v>0.6974807700519015</v>
      </c>
      <c r="L802" t="b">
        <v>0</v>
      </c>
      <c r="M802" t="b">
        <v>0</v>
      </c>
      <c r="N802" t="inlineStr">
        <is>
          <t>ref</t>
        </is>
      </c>
      <c r="O802" t="n">
        <v>-50</v>
      </c>
      <c r="P802" t="n">
        <v>0.00351</v>
      </c>
      <c r="Q802" t="n">
        <v>-100</v>
      </c>
      <c r="R802" t="n">
        <v>0.1757</v>
      </c>
      <c r="S802">
        <f>IMAGE("https://mitra.stanford.edu/kundaje/oak/projects/neuro-variants/variant_position/credible/roussos_2024/variant_figures/roussos_2024.childhood.Astrocyte/rs17110384_count_position.png",4,220,900)</f>
        <v/>
      </c>
      <c r="T802">
        <f>IMAGE("https://mitra.stanford.edu/kundaje/oak/projects/neuro-variants/variant_position/credible/roussos_2024/variant_figures/roussos_2024.childhood.Astrocyte/rs17110384_profile_position.png",4,220,900)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-0.159218582</v>
      </c>
      <c r="G803" t="n">
        <v>0.0279869703919601</v>
      </c>
      <c r="H803" t="n">
        <v>0.0300210776671067</v>
      </c>
      <c r="I803" t="n">
        <v>0.0314528567921468</v>
      </c>
      <c r="J803" t="n">
        <v>0.0125086823445001</v>
      </c>
      <c r="K803" t="n">
        <v>0.6672791277251237</v>
      </c>
      <c r="L803" t="b">
        <v>0</v>
      </c>
      <c r="M803" t="b">
        <v>0</v>
      </c>
      <c r="N803" t="inlineStr">
        <is>
          <t>ref</t>
        </is>
      </c>
      <c r="O803" t="n">
        <v>-20</v>
      </c>
      <c r="P803" t="n">
        <v>0.00761</v>
      </c>
      <c r="Q803" t="n">
        <v>-50</v>
      </c>
      <c r="R803" t="n">
        <v>0.0775</v>
      </c>
      <c r="S803">
        <f>IMAGE("https://mitra.stanford.edu/kundaje/oak/projects/neuro-variants/variant_position/credible/roussos_2024/variant_figures/roussos_2024.childhood.Astrocyte/rs17110387_count_position.png",4,220,900)</f>
        <v/>
      </c>
      <c r="T803">
        <f>IMAGE("https://mitra.stanford.edu/kundaje/oak/projects/neuro-variants/variant_position/credible/roussos_2024/variant_figures/roussos_2024.childhood.Astrocyte/rs17110387_profile_position.png",4,220,900)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0.0317695568</v>
      </c>
      <c r="G804" t="n">
        <v>0.363498921702912</v>
      </c>
      <c r="H804" t="n">
        <v>0.0165984092086234</v>
      </c>
      <c r="I804" t="n">
        <v>0.2230167414885952</v>
      </c>
      <c r="J804" t="n">
        <v>0.009179241754634899</v>
      </c>
      <c r="K804" t="n">
        <v>0.7010694981761506</v>
      </c>
      <c r="L804" t="b">
        <v>0</v>
      </c>
      <c r="M804" t="b">
        <v>0</v>
      </c>
      <c r="N804" t="inlineStr">
        <is>
          <t>alt</t>
        </is>
      </c>
      <c r="O804" t="n">
        <v>-100</v>
      </c>
      <c r="P804" t="n">
        <v>0.00822</v>
      </c>
      <c r="Q804" t="n">
        <v>-95</v>
      </c>
      <c r="R804" t="n">
        <v>0.0809</v>
      </c>
      <c r="S804">
        <f>IMAGE("https://mitra.stanford.edu/kundaje/oak/projects/neuro-variants/variant_position/credible/roussos_2024/variant_figures/roussos_2024.childhood.Astrocyte/rs11178985_count_position.png",4,220,900)</f>
        <v/>
      </c>
      <c r="T804">
        <f>IMAGE("https://mitra.stanford.edu/kundaje/oak/projects/neuro-variants/variant_position/credible/roussos_2024/variant_figures/roussos_2024.childhood.Astrocyte/rs11178985_profile_position.png",4,220,900)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-0.0234870622</v>
      </c>
      <c r="G805" t="n">
        <v>0.4192623542621155</v>
      </c>
      <c r="H805" t="n">
        <v>0.013428927821567</v>
      </c>
      <c r="I805" t="n">
        <v>0.3980887598451493</v>
      </c>
      <c r="J805" t="n">
        <v>0.0060734430934334</v>
      </c>
      <c r="K805" t="n">
        <v>0.7518039605035509</v>
      </c>
      <c r="L805" t="b">
        <v>0</v>
      </c>
      <c r="M805" t="b">
        <v>0</v>
      </c>
      <c r="N805" t="inlineStr">
        <is>
          <t>ref</t>
        </is>
      </c>
      <c r="O805" t="n">
        <v>-65</v>
      </c>
      <c r="P805" t="n">
        <v>0.00634</v>
      </c>
      <c r="Q805" t="n">
        <v>-60</v>
      </c>
      <c r="R805" t="n">
        <v>0.08649999999999999</v>
      </c>
      <c r="S805">
        <f>IMAGE("https://mitra.stanford.edu/kundaje/oak/projects/neuro-variants/variant_position/credible/roussos_2024/variant_figures/roussos_2024.childhood.Astrocyte/rs10506643_count_position.png",4,220,900)</f>
        <v/>
      </c>
      <c r="T805">
        <f>IMAGE("https://mitra.stanford.edu/kundaje/oak/projects/neuro-variants/variant_position/credible/roussos_2024/variant_figures/roussos_2024.childhood.Astrocyte/rs10506643_profile_position.png",4,220,900)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0.02426965468</v>
      </c>
      <c r="G806" t="n">
        <v>0.4491982949321194</v>
      </c>
      <c r="H806" t="n">
        <v>0.0073400722338316</v>
      </c>
      <c r="I806" t="n">
        <v>0.9415544104159512</v>
      </c>
      <c r="J806" t="n">
        <v>0.0007678627311793</v>
      </c>
      <c r="K806" t="n">
        <v>0.9175666160841872</v>
      </c>
      <c r="L806" t="b">
        <v>0</v>
      </c>
      <c r="M806" t="b">
        <v>0</v>
      </c>
      <c r="N806" t="inlineStr">
        <is>
          <t>alt</t>
        </is>
      </c>
      <c r="O806" t="n">
        <v>60</v>
      </c>
      <c r="P806" t="n">
        <v>0.003483</v>
      </c>
      <c r="Q806" t="n">
        <v>-100</v>
      </c>
      <c r="R806" t="n">
        <v>0.1001</v>
      </c>
      <c r="S806">
        <f>IMAGE("https://mitra.stanford.edu/kundaje/oak/projects/neuro-variants/variant_position/credible/roussos_2024/variant_figures/roussos_2024.childhood.Astrocyte/rs7955462_count_position.png",4,220,900)</f>
        <v/>
      </c>
      <c r="T806">
        <f>IMAGE("https://mitra.stanford.edu/kundaje/oak/projects/neuro-variants/variant_position/credible/roussos_2024/variant_figures/roussos_2024.childhood.Astrocyte/rs7955462_profile_position.png",4,220,900)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0.0163103243</v>
      </c>
      <c r="G807" t="n">
        <v>0.5746573145687575</v>
      </c>
      <c r="H807" t="n">
        <v>0.0490102538800764</v>
      </c>
      <c r="I807" t="n">
        <v>0.0043335205835008</v>
      </c>
      <c r="J807" t="n">
        <v>0.0021532214360406</v>
      </c>
      <c r="K807" t="n">
        <v>0.859500571615248</v>
      </c>
      <c r="L807" t="b">
        <v>0</v>
      </c>
      <c r="M807" t="b">
        <v>0</v>
      </c>
      <c r="N807" t="inlineStr">
        <is>
          <t>alt</t>
        </is>
      </c>
      <c r="O807" t="n">
        <v>50</v>
      </c>
      <c r="P807" t="n">
        <v>0.001282</v>
      </c>
      <c r="Q807" t="n">
        <v>-100</v>
      </c>
      <c r="R807" t="n">
        <v>0.10004</v>
      </c>
      <c r="S807">
        <f>IMAGE("https://mitra.stanford.edu/kundaje/oak/projects/neuro-variants/variant_position/credible/roussos_2024/variant_figures/roussos_2024.childhood.Astrocyte/rs6582256_count_position.png",4,220,900)</f>
        <v/>
      </c>
      <c r="T807">
        <f>IMAGE("https://mitra.stanford.edu/kundaje/oak/projects/neuro-variants/variant_position/credible/roussos_2024/variant_figures/roussos_2024.childhood.Astrocyte/rs6582256_profile_position.png",4,220,900)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0.002230404336</v>
      </c>
      <c r="G808" t="n">
        <v>0.8411362974037395</v>
      </c>
      <c r="H808" t="n">
        <v>0.0278334583298814</v>
      </c>
      <c r="I808" t="n">
        <v>0.0396944402942142</v>
      </c>
      <c r="J808" t="n">
        <v>0.0317296756810392</v>
      </c>
      <c r="K808" t="n">
        <v>0.5338630030281629</v>
      </c>
      <c r="L808" t="b">
        <v>0</v>
      </c>
      <c r="M808" t="b">
        <v>0</v>
      </c>
      <c r="N808" t="inlineStr">
        <is>
          <t>alt</t>
        </is>
      </c>
      <c r="O808" t="n">
        <v>30</v>
      </c>
      <c r="P808" t="n">
        <v>0.001038</v>
      </c>
      <c r="Q808" t="n">
        <v>100</v>
      </c>
      <c r="R808" t="n">
        <v>0.2915</v>
      </c>
      <c r="S808">
        <f>IMAGE("https://mitra.stanford.edu/kundaje/oak/projects/neuro-variants/variant_position/credible/roussos_2024/variant_figures/roussos_2024.childhood.Astrocyte/rs6582260_count_position.png",4,220,900)</f>
        <v/>
      </c>
      <c r="T808">
        <f>IMAGE("https://mitra.stanford.edu/kundaje/oak/projects/neuro-variants/variant_position/credible/roussos_2024/variant_figures/roussos_2024.childhood.Astrocyte/rs6582260_profile_position.png",4,220,900)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-0.005116630582</v>
      </c>
      <c r="G809" t="n">
        <v>0.8363846923809156</v>
      </c>
      <c r="H809" t="n">
        <v>0.0088499396223807</v>
      </c>
      <c r="I809" t="n">
        <v>0.8283742455257437</v>
      </c>
      <c r="J809" t="n">
        <v>0.007996153053513699</v>
      </c>
      <c r="K809" t="n">
        <v>0.7334934745050048</v>
      </c>
      <c r="L809" t="b">
        <v>0</v>
      </c>
      <c r="M809" t="b">
        <v>0</v>
      </c>
      <c r="N809" t="inlineStr">
        <is>
          <t>ref</t>
        </is>
      </c>
      <c r="O809" t="n">
        <v>-100</v>
      </c>
      <c r="P809" t="n">
        <v>0.07477</v>
      </c>
      <c r="Q809" t="n">
        <v>-100</v>
      </c>
      <c r="R809" t="n">
        <v>0.03516</v>
      </c>
      <c r="S809">
        <f>IMAGE("https://mitra.stanford.edu/kundaje/oak/projects/neuro-variants/variant_position/credible/roussos_2024/variant_figures/roussos_2024.childhood.Astrocyte/rs12316904_count_position.png",4,220,900)</f>
        <v/>
      </c>
      <c r="T809">
        <f>IMAGE("https://mitra.stanford.edu/kundaje/oak/projects/neuro-variants/variant_position/credible/roussos_2024/variant_figures/roussos_2024.childhood.Astrocyte/rs12316904_profile_position.png",4,220,900)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-0.00441850072</v>
      </c>
      <c r="G810" t="n">
        <v>0.7162263190354152</v>
      </c>
      <c r="H810" t="n">
        <v>0.0308596057219556</v>
      </c>
      <c r="I810" t="n">
        <v>0.0263644328048513</v>
      </c>
      <c r="J810" t="n">
        <v>0.0314442078267041</v>
      </c>
      <c r="K810" t="n">
        <v>0.5258159418709315</v>
      </c>
      <c r="L810" t="b">
        <v>0</v>
      </c>
      <c r="M810" t="b">
        <v>0</v>
      </c>
      <c r="N810" t="inlineStr">
        <is>
          <t>ref</t>
        </is>
      </c>
      <c r="O810" t="n">
        <v>-80</v>
      </c>
      <c r="P810" t="n">
        <v>0.001831</v>
      </c>
      <c r="Q810" t="n">
        <v>-80</v>
      </c>
      <c r="R810" t="n">
        <v>0.148</v>
      </c>
      <c r="S810">
        <f>IMAGE("https://mitra.stanford.edu/kundaje/oak/projects/neuro-variants/variant_position/credible/roussos_2024/variant_figures/roussos_2024.childhood.Astrocyte/rs1526821_count_position.png",4,220,900)</f>
        <v/>
      </c>
      <c r="T810">
        <f>IMAGE("https://mitra.stanford.edu/kundaje/oak/projects/neuro-variants/variant_position/credible/roussos_2024/variant_figures/roussos_2024.childhood.Astrocyte/rs1526821_profile_position.png",4,220,900)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-0.02064233069</v>
      </c>
      <c r="G811" t="n">
        <v>0.5208821331414859</v>
      </c>
      <c r="H811" t="n">
        <v>0.0148401582992273</v>
      </c>
      <c r="I811" t="n">
        <v>0.306856063987149</v>
      </c>
      <c r="J811" t="n">
        <v>0.0423499958019432</v>
      </c>
      <c r="K811" t="n">
        <v>0.4754557462798578</v>
      </c>
      <c r="L811" t="b">
        <v>0</v>
      </c>
      <c r="M811" t="b">
        <v>0</v>
      </c>
      <c r="N811" t="inlineStr">
        <is>
          <t>ref</t>
        </is>
      </c>
      <c r="O811" t="n">
        <v>85</v>
      </c>
      <c r="P811" t="n">
        <v>0.004852</v>
      </c>
      <c r="Q811" t="n">
        <v>-100</v>
      </c>
      <c r="R811" t="n">
        <v>0.2126</v>
      </c>
      <c r="S811">
        <f>IMAGE("https://mitra.stanford.edu/kundaje/oak/projects/neuro-variants/variant_position/credible/roussos_2024/variant_figures/roussos_2024.childhood.Astrocyte/rs12315638_count_position.png",4,220,900)</f>
        <v/>
      </c>
      <c r="T811">
        <f>IMAGE("https://mitra.stanford.edu/kundaje/oak/projects/neuro-variants/variant_position/credible/roussos_2024/variant_figures/roussos_2024.childhood.Astrocyte/rs12315638_profile_position.png",4,220,900)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-0.05469303348</v>
      </c>
      <c r="G812" t="n">
        <v>0.2113079141099473</v>
      </c>
      <c r="H812" t="n">
        <v>0.0118816360548414</v>
      </c>
      <c r="I812" t="n">
        <v>0.525622425448409</v>
      </c>
      <c r="J812" t="n">
        <v>0.0005518536328455</v>
      </c>
      <c r="K812" t="n">
        <v>0.9410366730525556</v>
      </c>
      <c r="L812" t="b">
        <v>0</v>
      </c>
      <c r="M812" t="b">
        <v>0</v>
      </c>
      <c r="N812" t="inlineStr">
        <is>
          <t>ref</t>
        </is>
      </c>
      <c r="O812" t="n">
        <v>100</v>
      </c>
      <c r="P812" t="n">
        <v>0.01973</v>
      </c>
      <c r="Q812" t="n">
        <v>-45</v>
      </c>
      <c r="R812" t="n">
        <v>0.031</v>
      </c>
      <c r="S812">
        <f>IMAGE("https://mitra.stanford.edu/kundaje/oak/projects/neuro-variants/variant_position/credible/roussos_2024/variant_figures/roussos_2024.childhood.Astrocyte/rs11180302_count_position.png",4,220,900)</f>
        <v/>
      </c>
      <c r="T812">
        <f>IMAGE("https://mitra.stanford.edu/kundaje/oak/projects/neuro-variants/variant_position/credible/roussos_2024/variant_figures/roussos_2024.childhood.Astrocyte/rs11180302_profile_position.png",4,220,900)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-0.005103061</v>
      </c>
      <c r="G813" t="n">
        <v>0.4014076348520525</v>
      </c>
      <c r="H813" t="n">
        <v>0.010026914585442</v>
      </c>
      <c r="I813" t="n">
        <v>0.6659509856424503</v>
      </c>
      <c r="J813" t="n">
        <v>0.0007136696358376</v>
      </c>
      <c r="K813" t="n">
        <v>0.9379639724749022</v>
      </c>
      <c r="L813" t="b">
        <v>0</v>
      </c>
      <c r="M813" t="b">
        <v>0</v>
      </c>
      <c r="N813" t="inlineStr">
        <is>
          <t>ref</t>
        </is>
      </c>
      <c r="O813" t="n">
        <v>90</v>
      </c>
      <c r="P813" t="n">
        <v>0.05475</v>
      </c>
      <c r="Q813" t="n">
        <v>90</v>
      </c>
      <c r="R813" t="n">
        <v>0.1393</v>
      </c>
      <c r="S813">
        <f>IMAGE("https://mitra.stanford.edu/kundaje/oak/projects/neuro-variants/variant_position/credible/roussos_2024/variant_figures/roussos_2024.childhood.Astrocyte/rs1526803_count_position.png",4,220,900)</f>
        <v/>
      </c>
      <c r="T813">
        <f>IMAGE("https://mitra.stanford.edu/kundaje/oak/projects/neuro-variants/variant_position/credible/roussos_2024/variant_figures/roussos_2024.childhood.Astrocyte/rs1526803_profile_position.png",4,220,900)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0.00490993976</v>
      </c>
      <c r="G814" t="n">
        <v>0.7737560426050507</v>
      </c>
      <c r="H814" t="n">
        <v>0.0271205432913519</v>
      </c>
      <c r="I814" t="n">
        <v>0.0437525932072321</v>
      </c>
      <c r="J814" t="n">
        <v>0.0083358140031904</v>
      </c>
      <c r="K814" t="n">
        <v>0.7133690192043499</v>
      </c>
      <c r="L814" t="b">
        <v>0</v>
      </c>
      <c r="M814" t="b">
        <v>0</v>
      </c>
      <c r="N814" t="inlineStr">
        <is>
          <t>alt</t>
        </is>
      </c>
      <c r="O814" t="n">
        <v>35</v>
      </c>
      <c r="P814" t="n">
        <v>0.01328</v>
      </c>
      <c r="Q814" t="n">
        <v>65</v>
      </c>
      <c r="R814" t="n">
        <v>0.05453</v>
      </c>
      <c r="S814">
        <f>IMAGE("https://mitra.stanford.edu/kundaje/oak/projects/neuro-variants/variant_position/credible/roussos_2024/variant_figures/roussos_2024.childhood.Astrocyte/rs952408_count_position.png",4,220,900)</f>
        <v/>
      </c>
      <c r="T814">
        <f>IMAGE("https://mitra.stanford.edu/kundaje/oak/projects/neuro-variants/variant_position/credible/roussos_2024/variant_figures/roussos_2024.childhood.Astrocyte/rs952408_profile_position.png",4,220,900)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-0.0795063695999999</v>
      </c>
      <c r="G815" t="n">
        <v>0.1265163515224419</v>
      </c>
      <c r="H815" t="n">
        <v>0.0192471043590582</v>
      </c>
      <c r="I815" t="n">
        <v>0.150251579469813</v>
      </c>
      <c r="J815" t="n">
        <v>0.09001015166433859</v>
      </c>
      <c r="K815" t="n">
        <v>0.3446152808629601</v>
      </c>
      <c r="L815" t="b">
        <v>0</v>
      </c>
      <c r="M815" t="b">
        <v>0</v>
      </c>
      <c r="N815" t="inlineStr">
        <is>
          <t>ref</t>
        </is>
      </c>
      <c r="O815" t="n">
        <v>30</v>
      </c>
      <c r="P815" t="n">
        <v>0.002174</v>
      </c>
      <c r="Q815" t="n">
        <v>90</v>
      </c>
      <c r="R815" t="n">
        <v>0.08690000000000001</v>
      </c>
      <c r="S815">
        <f>IMAGE("https://mitra.stanford.edu/kundaje/oak/projects/neuro-variants/variant_position/credible/roussos_2024/variant_figures/roussos_2024.childhood.Astrocyte/rs12300503_count_position.png",4,220,900)</f>
        <v/>
      </c>
      <c r="T815">
        <f>IMAGE("https://mitra.stanford.edu/kundaje/oak/projects/neuro-variants/variant_position/credible/roussos_2024/variant_figures/roussos_2024.childhood.Astrocyte/rs12300503_profile_position.png",4,220,900)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-0.0431882444</v>
      </c>
      <c r="G816" t="n">
        <v>0.2667487712395032</v>
      </c>
      <c r="H816" t="n">
        <v>0.0150070154060703</v>
      </c>
      <c r="I816" t="n">
        <v>0.2987343805656103</v>
      </c>
      <c r="J816" t="n">
        <v>0.0037248212009495</v>
      </c>
      <c r="K816" t="n">
        <v>0.8057192155089639</v>
      </c>
      <c r="L816" t="b">
        <v>0</v>
      </c>
      <c r="M816" t="b">
        <v>0</v>
      </c>
      <c r="N816" t="inlineStr">
        <is>
          <t>ref</t>
        </is>
      </c>
      <c r="O816" t="n">
        <v>40</v>
      </c>
      <c r="P816" t="n">
        <v>0.004326</v>
      </c>
      <c r="Q816" t="n">
        <v>25</v>
      </c>
      <c r="R816" t="n">
        <v>0.04492</v>
      </c>
      <c r="S816">
        <f>IMAGE("https://mitra.stanford.edu/kundaje/oak/projects/neuro-variants/variant_position/credible/roussos_2024/variant_figures/roussos_2024.childhood.Astrocyte/rs17014518_count_position.png",4,220,900)</f>
        <v/>
      </c>
      <c r="T816">
        <f>IMAGE("https://mitra.stanford.edu/kundaje/oak/projects/neuro-variants/variant_position/credible/roussos_2024/variant_figures/roussos_2024.childhood.Astrocyte/rs17014518_profile_position.png",4,220,900)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0.0120658216999999</v>
      </c>
      <c r="G817" t="n">
        <v>0.5955748341809383</v>
      </c>
      <c r="H817" t="n">
        <v>0.0113200271777379</v>
      </c>
      <c r="I817" t="n">
        <v>0.5732144783361593</v>
      </c>
      <c r="J817" t="n">
        <v>0.0463335699510735</v>
      </c>
      <c r="K817" t="n">
        <v>0.4644772373762119</v>
      </c>
      <c r="L817" t="b">
        <v>0</v>
      </c>
      <c r="M817" t="b">
        <v>0</v>
      </c>
      <c r="N817" t="inlineStr">
        <is>
          <t>alt</t>
        </is>
      </c>
      <c r="O817" t="n">
        <v>90</v>
      </c>
      <c r="P817" t="n">
        <v>0.00753</v>
      </c>
      <c r="Q817" t="n">
        <v>95</v>
      </c>
      <c r="R817" t="n">
        <v>0.0989</v>
      </c>
      <c r="S817">
        <f>IMAGE("https://mitra.stanford.edu/kundaje/oak/projects/neuro-variants/variant_position/credible/roussos_2024/variant_figures/roussos_2024.childhood.Astrocyte/rs66619626_count_position.png",4,220,900)</f>
        <v/>
      </c>
      <c r="T817">
        <f>IMAGE("https://mitra.stanford.edu/kundaje/oak/projects/neuro-variants/variant_position/credible/roussos_2024/variant_figures/roussos_2024.childhood.Astrocyte/rs66619626_profile_position.png",4,220,900)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-0.0255999421399999</v>
      </c>
      <c r="G818" t="n">
        <v>0.4393203312155321</v>
      </c>
      <c r="H818" t="n">
        <v>0.0351265748812652</v>
      </c>
      <c r="I818" t="n">
        <v>0.0160873791622998</v>
      </c>
      <c r="J818" t="n">
        <v>3.740086861609153e-05</v>
      </c>
      <c r="K818" t="n">
        <v>0.9972409774629436</v>
      </c>
      <c r="L818" t="b">
        <v>0</v>
      </c>
      <c r="M818" t="b">
        <v>0</v>
      </c>
      <c r="N818" t="inlineStr">
        <is>
          <t>ref</t>
        </is>
      </c>
      <c r="O818" t="n">
        <v>-90</v>
      </c>
      <c r="P818" t="n">
        <v>0.003853</v>
      </c>
      <c r="Q818" t="n">
        <v>-100</v>
      </c>
      <c r="R818" t="n">
        <v>0.0083</v>
      </c>
      <c r="S818">
        <f>IMAGE("https://mitra.stanford.edu/kundaje/oak/projects/neuro-variants/variant_position/credible/roussos_2024/variant_figures/roussos_2024.childhood.Astrocyte/rs11104403_count_position.png",4,220,900)</f>
        <v/>
      </c>
      <c r="T818">
        <f>IMAGE("https://mitra.stanford.edu/kundaje/oak/projects/neuro-variants/variant_position/credible/roussos_2024/variant_figures/roussos_2024.childhood.Astrocyte/rs11104403_profile_position.png",4,220,900)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-0.09758417</v>
      </c>
      <c r="G819" t="n">
        <v>0.07698091686365351</v>
      </c>
      <c r="H819" t="n">
        <v>0.0245555928820659</v>
      </c>
      <c r="I819" t="n">
        <v>0.0648319767714985</v>
      </c>
      <c r="J819" t="n">
        <v>7.480173723217986e-05</v>
      </c>
      <c r="K819" t="n">
        <v>0.9930126280112131</v>
      </c>
      <c r="L819" t="b">
        <v>0</v>
      </c>
      <c r="M819" t="b">
        <v>0</v>
      </c>
      <c r="N819" t="inlineStr">
        <is>
          <t>ref</t>
        </is>
      </c>
      <c r="O819" t="n">
        <v>-85</v>
      </c>
      <c r="P819" t="n">
        <v>0.001892</v>
      </c>
      <c r="Q819" t="n">
        <v>-80</v>
      </c>
      <c r="R819" t="n">
        <v>0.02505</v>
      </c>
      <c r="S819">
        <f>IMAGE("https://mitra.stanford.edu/kundaje/oak/projects/neuro-variants/variant_position/credible/roussos_2024/variant_figures/roussos_2024.childhood.Astrocyte/rs12815820_count_position.png",4,220,900)</f>
        <v/>
      </c>
      <c r="T819">
        <f>IMAGE("https://mitra.stanford.edu/kundaje/oak/projects/neuro-variants/variant_position/credible/roussos_2024/variant_figures/roussos_2024.childhood.Astrocyte/rs12815820_profile_position.png",4,220,900)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0.032463598</v>
      </c>
      <c r="G820" t="n">
        <v>0.3465795369915398</v>
      </c>
      <c r="H820" t="n">
        <v>0.0202148030809063</v>
      </c>
      <c r="I820" t="n">
        <v>0.1220633956776185</v>
      </c>
      <c r="J820" t="n">
        <v>0.009760100142733799</v>
      </c>
      <c r="K820" t="n">
        <v>0.6933271976882048</v>
      </c>
      <c r="L820" t="b">
        <v>0</v>
      </c>
      <c r="M820" t="b">
        <v>0</v>
      </c>
      <c r="N820" t="inlineStr">
        <is>
          <t>alt</t>
        </is>
      </c>
      <c r="O820" t="n">
        <v>50</v>
      </c>
      <c r="P820" t="n">
        <v>0.00216</v>
      </c>
      <c r="Q820" t="n">
        <v>-60</v>
      </c>
      <c r="R820" t="n">
        <v>0.0426</v>
      </c>
      <c r="S820">
        <f>IMAGE("https://mitra.stanford.edu/kundaje/oak/projects/neuro-variants/variant_position/credible/roussos_2024/variant_figures/roussos_2024.childhood.Astrocyte/rs725421_count_position.png",4,220,900)</f>
        <v/>
      </c>
      <c r="T820">
        <f>IMAGE("https://mitra.stanford.edu/kundaje/oak/projects/neuro-variants/variant_position/credible/roussos_2024/variant_figures/roussos_2024.childhood.Astrocyte/rs725421_profile_position.png",4,220,900)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-0.0461837376</v>
      </c>
      <c r="G821" t="n">
        <v>0.2744021379386192</v>
      </c>
      <c r="H821" t="n">
        <v>0.0143919279800858</v>
      </c>
      <c r="I821" t="n">
        <v>0.3350548635392039</v>
      </c>
      <c r="J821" t="n">
        <v>0.2506583316159465</v>
      </c>
      <c r="K821" t="n">
        <v>0.1620087092021752</v>
      </c>
      <c r="L821" t="b">
        <v>0</v>
      </c>
      <c r="M821" t="b">
        <v>0</v>
      </c>
      <c r="N821" t="inlineStr">
        <is>
          <t>ref</t>
        </is>
      </c>
      <c r="O821" t="n">
        <v>85</v>
      </c>
      <c r="P821" t="n">
        <v>0.002625</v>
      </c>
      <c r="Q821" t="n">
        <v>15</v>
      </c>
      <c r="R821" t="n">
        <v>0.01172</v>
      </c>
      <c r="S821">
        <f>IMAGE("https://mitra.stanford.edu/kundaje/oak/projects/neuro-variants/variant_position/credible/roussos_2024/variant_figures/roussos_2024.childhood.Astrocyte/rs7972062_count_position.png",4,220,900)</f>
        <v/>
      </c>
      <c r="T821">
        <f>IMAGE("https://mitra.stanford.edu/kundaje/oak/projects/neuro-variants/variant_position/credible/roussos_2024/variant_figures/roussos_2024.childhood.Astrocyte/rs7972062_profile_position.png",4,220,900)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0.24925979</v>
      </c>
      <c r="G822" t="n">
        <v>0.0097831163491263</v>
      </c>
      <c r="H822" t="n">
        <v>0.0291423004580212</v>
      </c>
      <c r="I822" t="n">
        <v>0.0350022886109198</v>
      </c>
      <c r="J822" t="n">
        <v>0.2317594437193255</v>
      </c>
      <c r="K822" t="n">
        <v>0.1751011033422307</v>
      </c>
      <c r="L822" t="b">
        <v>1</v>
      </c>
      <c r="M822" t="b">
        <v>1</v>
      </c>
      <c r="N822" t="inlineStr">
        <is>
          <t>alt</t>
        </is>
      </c>
      <c r="O822" t="n">
        <v>-15</v>
      </c>
      <c r="P822" t="n">
        <v>0.001472</v>
      </c>
      <c r="Q822" t="n">
        <v>-15</v>
      </c>
      <c r="R822" t="n">
        <v>0.0464</v>
      </c>
      <c r="S822">
        <f>IMAGE("https://mitra.stanford.edu/kundaje/oak/projects/neuro-variants/variant_position/credible/roussos_2024/variant_figures/roussos_2024.childhood.Astrocyte/rs10858579_count_position.png",4,220,900)</f>
        <v/>
      </c>
      <c r="T822">
        <f>IMAGE("https://mitra.stanford.edu/kundaje/oak/projects/neuro-variants/variant_position/credible/roussos_2024/variant_figures/roussos_2024.childhood.Astrocyte/rs10858579_profile_position.png",4,220,900)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0.0263055904</v>
      </c>
      <c r="G823" t="n">
        <v>0.4207968941488231</v>
      </c>
      <c r="H823" t="n">
        <v>0.0429864768358061</v>
      </c>
      <c r="I823" t="n">
        <v>0.0072336088691931</v>
      </c>
      <c r="J823" t="n">
        <v>0.0037950432399837</v>
      </c>
      <c r="K823" t="n">
        <v>0.8050618029228045</v>
      </c>
      <c r="L823" t="b">
        <v>0</v>
      </c>
      <c r="M823" t="b">
        <v>0</v>
      </c>
      <c r="N823" t="inlineStr">
        <is>
          <t>alt</t>
        </is>
      </c>
      <c r="O823" t="n">
        <v>100</v>
      </c>
      <c r="P823" t="n">
        <v>0.01135</v>
      </c>
      <c r="Q823" t="n">
        <v>-45</v>
      </c>
      <c r="R823" t="n">
        <v>0.077</v>
      </c>
      <c r="S823">
        <f>IMAGE("https://mitra.stanford.edu/kundaje/oak/projects/neuro-variants/variant_position/credible/roussos_2024/variant_figures/roussos_2024.childhood.Astrocyte/rs1845141_count_position.png",4,220,900)</f>
        <v/>
      </c>
      <c r="T823">
        <f>IMAGE("https://mitra.stanford.edu/kundaje/oak/projects/neuro-variants/variant_position/credible/roussos_2024/variant_figures/roussos_2024.childhood.Astrocyte/rs1845141_profile_position.png",4,220,900)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0.1695601952</v>
      </c>
      <c r="G824" t="n">
        <v>0.023313293790838</v>
      </c>
      <c r="H824" t="n">
        <v>0.0221774036453771</v>
      </c>
      <c r="I824" t="n">
        <v>0.0897203650898032</v>
      </c>
      <c r="J824" t="n">
        <v>0.0303855342599589</v>
      </c>
      <c r="K824" t="n">
        <v>0.5292164580536217</v>
      </c>
      <c r="L824" t="b">
        <v>0</v>
      </c>
      <c r="M824" t="b">
        <v>0</v>
      </c>
      <c r="N824" t="inlineStr">
        <is>
          <t>alt</t>
        </is>
      </c>
      <c r="O824" t="n">
        <v>-60</v>
      </c>
      <c r="P824" t="n">
        <v>0.02252</v>
      </c>
      <c r="Q824" t="n">
        <v>-30</v>
      </c>
      <c r="R824" t="n">
        <v>0.0481</v>
      </c>
      <c r="S824">
        <f>IMAGE("https://mitra.stanford.edu/kundaje/oak/projects/neuro-variants/variant_position/credible/roussos_2024/variant_figures/roussos_2024.childhood.Astrocyte/rs7308051_count_position.png",4,220,900)</f>
        <v/>
      </c>
      <c r="T824">
        <f>IMAGE("https://mitra.stanford.edu/kundaje/oak/projects/neuro-variants/variant_position/credible/roussos_2024/variant_figures/roussos_2024.childhood.Astrocyte/rs7308051_profile_position.png",4,220,900)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0.103045308</v>
      </c>
      <c r="G825" t="n">
        <v>0.0697409578793602</v>
      </c>
      <c r="H825" t="n">
        <v>0.0177553267718524</v>
      </c>
      <c r="I825" t="n">
        <v>0.1878768859449852</v>
      </c>
      <c r="J825" t="n">
        <v>0.0132376176409974</v>
      </c>
      <c r="K825" t="n">
        <v>0.6538603910351545</v>
      </c>
      <c r="L825" t="b">
        <v>0</v>
      </c>
      <c r="M825" t="b">
        <v>0</v>
      </c>
      <c r="N825" t="inlineStr">
        <is>
          <t>alt</t>
        </is>
      </c>
      <c r="O825" t="n">
        <v>15</v>
      </c>
      <c r="P825" t="n">
        <v>0.00403</v>
      </c>
      <c r="Q825" t="n">
        <v>-10</v>
      </c>
      <c r="R825" t="n">
        <v>0.02197</v>
      </c>
      <c r="S825">
        <f>IMAGE("https://mitra.stanford.edu/kundaje/oak/projects/neuro-variants/variant_position/credible/roussos_2024/variant_figures/roussos_2024.childhood.Astrocyte/rs6538188_count_position.png",4,220,900)</f>
        <v/>
      </c>
      <c r="T825">
        <f>IMAGE("https://mitra.stanford.edu/kundaje/oak/projects/neuro-variants/variant_position/credible/roussos_2024/variant_figures/roussos_2024.childhood.Astrocyte/rs6538188_profile_position.png",4,220,900)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0.0586880698</v>
      </c>
      <c r="G826" t="n">
        <v>0.1813213180705595</v>
      </c>
      <c r="H826" t="n">
        <v>0.0138306789985373</v>
      </c>
      <c r="I826" t="n">
        <v>0.3720624903882611</v>
      </c>
      <c r="J826" t="n">
        <v>0.0140787555433429</v>
      </c>
      <c r="K826" t="n">
        <v>0.6457418796373975</v>
      </c>
      <c r="L826" t="b">
        <v>0</v>
      </c>
      <c r="M826" t="b">
        <v>0</v>
      </c>
      <c r="N826" t="inlineStr">
        <is>
          <t>alt</t>
        </is>
      </c>
      <c r="O826" t="n">
        <v>5</v>
      </c>
      <c r="P826" t="n">
        <v>0.001678</v>
      </c>
      <c r="Q826" t="n">
        <v>95</v>
      </c>
      <c r="R826" t="n">
        <v>0.1448</v>
      </c>
      <c r="S826">
        <f>IMAGE("https://mitra.stanford.edu/kundaje/oak/projects/neuro-variants/variant_position/credible/roussos_2024/variant_figures/roussos_2024.childhood.Astrocyte/rs9634199_count_position.png",4,220,900)</f>
        <v/>
      </c>
      <c r="T826">
        <f>IMAGE("https://mitra.stanford.edu/kundaje/oak/projects/neuro-variants/variant_position/credible/roussos_2024/variant_figures/roussos_2024.childhood.Astrocyte/rs9634199_profile_position.png",4,220,900)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0.263794714</v>
      </c>
      <c r="G827" t="n">
        <v>0.0079608864755123</v>
      </c>
      <c r="H827" t="n">
        <v>0.0315863416919304</v>
      </c>
      <c r="I827" t="n">
        <v>0.0240317171081147</v>
      </c>
      <c r="J827" t="n">
        <v>0.7112088113393328</v>
      </c>
      <c r="K827" t="n">
        <v>0.0170355978181969</v>
      </c>
      <c r="L827" t="b">
        <v>1</v>
      </c>
      <c r="M827" t="b">
        <v>1</v>
      </c>
      <c r="N827" t="inlineStr">
        <is>
          <t>alt</t>
        </is>
      </c>
      <c r="O827" t="n">
        <v>100</v>
      </c>
      <c r="P827" t="n">
        <v>0.02017</v>
      </c>
      <c r="Q827" t="n">
        <v>95</v>
      </c>
      <c r="R827" t="n">
        <v>0.1865</v>
      </c>
      <c r="S827">
        <f>IMAGE("https://mitra.stanford.edu/kundaje/oak/projects/neuro-variants/variant_position/credible/roussos_2024/variant_figures/roussos_2024.childhood.Astrocyte/rs10858884_count_position.png",4,220,900)</f>
        <v/>
      </c>
      <c r="T827">
        <f>IMAGE("https://mitra.stanford.edu/kundaje/oak/projects/neuro-variants/variant_position/credible/roussos_2024/variant_figures/roussos_2024.childhood.Astrocyte/rs10858884_profile_position.png",4,220,900)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0.1273201639999999</v>
      </c>
      <c r="G828" t="n">
        <v>0.0440443777356579</v>
      </c>
      <c r="H828" t="n">
        <v>0.0171058715536459</v>
      </c>
      <c r="I828" t="n">
        <v>0.2216117525294698</v>
      </c>
      <c r="J828" t="n">
        <v>0.150508728141482</v>
      </c>
      <c r="K828" t="n">
        <v>0.2558880313305988</v>
      </c>
      <c r="L828" t="b">
        <v>0</v>
      </c>
      <c r="M828" t="b">
        <v>0</v>
      </c>
      <c r="N828" t="inlineStr">
        <is>
          <t>alt</t>
        </is>
      </c>
      <c r="O828" t="n">
        <v>-65</v>
      </c>
      <c r="P828" t="n">
        <v>0.03223</v>
      </c>
      <c r="Q828" t="n">
        <v>10</v>
      </c>
      <c r="R828" t="n">
        <v>0.01617</v>
      </c>
      <c r="S828">
        <f>IMAGE("https://mitra.stanford.edu/kundaje/oak/projects/neuro-variants/variant_position/credible/roussos_2024/variant_figures/roussos_2024.childhood.Astrocyte/rs10777173_count_position.png",4,220,900)</f>
        <v/>
      </c>
      <c r="T828">
        <f>IMAGE("https://mitra.stanford.edu/kundaje/oak/projects/neuro-variants/variant_position/credible/roussos_2024/variant_figures/roussos_2024.childhood.Astrocyte/rs10777173_profile_position.png",4,220,900)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-0.0509968462</v>
      </c>
      <c r="G829" t="n">
        <v>0.2126559979887931</v>
      </c>
      <c r="H829" t="n">
        <v>0.0226515288066416</v>
      </c>
      <c r="I829" t="n">
        <v>0.08468526985446879</v>
      </c>
      <c r="J829" t="n">
        <v>0.0960660392480135</v>
      </c>
      <c r="K829" t="n">
        <v>0.3326654031056448</v>
      </c>
      <c r="L829" t="b">
        <v>0</v>
      </c>
      <c r="M829" t="b">
        <v>0</v>
      </c>
      <c r="N829" t="inlineStr">
        <is>
          <t>ref</t>
        </is>
      </c>
      <c r="O829" t="n">
        <v>-80</v>
      </c>
      <c r="P829" t="n">
        <v>0.01437</v>
      </c>
      <c r="Q829" t="n">
        <v>-100</v>
      </c>
      <c r="R829" t="n">
        <v>0.1469</v>
      </c>
      <c r="S829">
        <f>IMAGE("https://mitra.stanford.edu/kundaje/oak/projects/neuro-variants/variant_position/credible/roussos_2024/variant_figures/roussos_2024.childhood.Astrocyte/rs11105326_count_position.png",4,220,900)</f>
        <v/>
      </c>
      <c r="T829">
        <f>IMAGE("https://mitra.stanford.edu/kundaje/oak/projects/neuro-variants/variant_position/credible/roussos_2024/variant_figures/roussos_2024.childhood.Astrocyte/rs11105326_profile_position.png",4,220,900)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0.0510061412</v>
      </c>
      <c r="G830" t="n">
        <v>0.2082212362158715</v>
      </c>
      <c r="H830" t="n">
        <v>0.0128125039774202</v>
      </c>
      <c r="I830" t="n">
        <v>0.4452978478273766</v>
      </c>
      <c r="J830" t="n">
        <v>0.0040431102257027</v>
      </c>
      <c r="K830" t="n">
        <v>0.8096216314701149</v>
      </c>
      <c r="L830" t="b">
        <v>0</v>
      </c>
      <c r="M830" t="b">
        <v>0</v>
      </c>
      <c r="N830" t="inlineStr">
        <is>
          <t>alt</t>
        </is>
      </c>
      <c r="O830" t="n">
        <v>-10</v>
      </c>
      <c r="P830" t="n">
        <v>0.0006104</v>
      </c>
      <c r="Q830" t="n">
        <v>-35</v>
      </c>
      <c r="R830" t="n">
        <v>0.03894</v>
      </c>
      <c r="S830">
        <f>IMAGE("https://mitra.stanford.edu/kundaje/oak/projects/neuro-variants/variant_position/credible/roussos_2024/variant_figures/roussos_2024.childhood.Astrocyte/rs77966649_count_position.png",4,220,900)</f>
        <v/>
      </c>
      <c r="T830">
        <f>IMAGE("https://mitra.stanford.edu/kundaje/oak/projects/neuro-variants/variant_position/credible/roussos_2024/variant_figures/roussos_2024.childhood.Astrocyte/rs77966649_profile_position.png",4,220,900)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-0.060006767</v>
      </c>
      <c r="G831" t="n">
        <v>0.1695573179634628</v>
      </c>
      <c r="H831" t="n">
        <v>0.0169623454458321</v>
      </c>
      <c r="I831" t="n">
        <v>0.2166447326090789</v>
      </c>
      <c r="J831" t="n">
        <v>0.0449077572454641</v>
      </c>
      <c r="K831" t="n">
        <v>0.4633272994544782</v>
      </c>
      <c r="L831" t="b">
        <v>0</v>
      </c>
      <c r="M831" t="b">
        <v>0</v>
      </c>
      <c r="N831" t="inlineStr">
        <is>
          <t>ref</t>
        </is>
      </c>
      <c r="O831" t="n">
        <v>70</v>
      </c>
      <c r="P831" t="n">
        <v>0.00415</v>
      </c>
      <c r="Q831" t="n">
        <v>-95</v>
      </c>
      <c r="R831" t="n">
        <v>0.146</v>
      </c>
      <c r="S831">
        <f>IMAGE("https://mitra.stanford.edu/kundaje/oak/projects/neuro-variants/variant_position/credible/roussos_2024/variant_figures/roussos_2024.childhood.Astrocyte/rs4240748_count_position.png",4,220,900)</f>
        <v/>
      </c>
      <c r="T831">
        <f>IMAGE("https://mitra.stanford.edu/kundaje/oak/projects/neuro-variants/variant_position/credible/roussos_2024/variant_figures/roussos_2024.childhood.Astrocyte/rs4240748_profile_position.png",4,220,900)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-0.0019754871539999</v>
      </c>
      <c r="G832" t="n">
        <v>0.9301776962099249</v>
      </c>
      <c r="H832" t="n">
        <v>0.0284139903168352</v>
      </c>
      <c r="I832" t="n">
        <v>0.036058757169596</v>
      </c>
      <c r="J832" t="n">
        <v>0.08128277346522859</v>
      </c>
      <c r="K832" t="n">
        <v>0.371441811737439</v>
      </c>
      <c r="L832" t="b">
        <v>0</v>
      </c>
      <c r="M832" t="b">
        <v>0</v>
      </c>
      <c r="N832" t="inlineStr">
        <is>
          <t>ref</t>
        </is>
      </c>
      <c r="O832" t="n">
        <v>65</v>
      </c>
      <c r="P832" t="n">
        <v>0.00983</v>
      </c>
      <c r="Q832" t="n">
        <v>80</v>
      </c>
      <c r="R832" t="n">
        <v>0.2312</v>
      </c>
      <c r="S832">
        <f>IMAGE("https://mitra.stanford.edu/kundaje/oak/projects/neuro-variants/variant_position/credible/roussos_2024/variant_figures/roussos_2024.childhood.Astrocyte/rs63482062_count_position.png",4,220,900)</f>
        <v/>
      </c>
      <c r="T832">
        <f>IMAGE("https://mitra.stanford.edu/kundaje/oak/projects/neuro-variants/variant_position/credible/roussos_2024/variant_figures/roussos_2024.childhood.Astrocyte/rs63482062_profile_position.png",4,220,900)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0.1346951728</v>
      </c>
      <c r="G833" t="n">
        <v>0.0691544612810653</v>
      </c>
      <c r="H833" t="n">
        <v>0.0222311205959484</v>
      </c>
      <c r="I833" t="n">
        <v>0.09278717403496831</v>
      </c>
      <c r="J833" t="n">
        <v>0.07341790509338759</v>
      </c>
      <c r="K833" t="n">
        <v>0.4012781834444438</v>
      </c>
      <c r="L833" t="b">
        <v>0</v>
      </c>
      <c r="M833" t="b">
        <v>0</v>
      </c>
      <c r="N833" t="inlineStr">
        <is>
          <t>alt</t>
        </is>
      </c>
      <c r="O833" t="n">
        <v>-60</v>
      </c>
      <c r="P833" t="n">
        <v>0.01544</v>
      </c>
      <c r="Q833" t="n">
        <v>-60</v>
      </c>
      <c r="R833" t="n">
        <v>0.0864</v>
      </c>
      <c r="S833">
        <f>IMAGE("https://mitra.stanford.edu/kundaje/oak/projects/neuro-variants/variant_position/credible/roussos_2024/variant_figures/roussos_2024.childhood.Astrocyte/rs10777617_count_position.png",4,220,900)</f>
        <v/>
      </c>
      <c r="T833">
        <f>IMAGE("https://mitra.stanford.edu/kundaje/oak/projects/neuro-variants/variant_position/credible/roussos_2024/variant_figures/roussos_2024.childhood.Astrocyte/rs10777617_profile_position.png",4,220,900)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-0.10630402</v>
      </c>
      <c r="G834" t="n">
        <v>0.06262842756456929</v>
      </c>
      <c r="H834" t="n">
        <v>0.0153295492457352</v>
      </c>
      <c r="I834" t="n">
        <v>0.2808043833685525</v>
      </c>
      <c r="J834" t="n">
        <v>0.0005785685389998</v>
      </c>
      <c r="K834" t="n">
        <v>0.9333764096539569</v>
      </c>
      <c r="L834" t="b">
        <v>0</v>
      </c>
      <c r="M834" t="b">
        <v>0</v>
      </c>
      <c r="N834" t="inlineStr">
        <is>
          <t>ref</t>
        </is>
      </c>
      <c r="O834" t="n">
        <v>-80</v>
      </c>
      <c r="P834" t="n">
        <v>0.004074</v>
      </c>
      <c r="Q834" t="n">
        <v>10</v>
      </c>
      <c r="R834" t="n">
        <v>0.02528</v>
      </c>
      <c r="S834">
        <f>IMAGE("https://mitra.stanford.edu/kundaje/oak/projects/neuro-variants/variant_position/credible/roussos_2024/variant_figures/roussos_2024.childhood.Astrocyte/rs7311279_count_position.png",4,220,900)</f>
        <v/>
      </c>
      <c r="T834">
        <f>IMAGE("https://mitra.stanford.edu/kundaje/oak/projects/neuro-variants/variant_position/credible/roussos_2024/variant_figures/roussos_2024.childhood.Astrocyte/rs7311279_profile_position.png",4,220,900)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0.0496762828</v>
      </c>
      <c r="G835" t="n">
        <v>0.2144577284321356</v>
      </c>
      <c r="H835" t="n">
        <v>0.0121512486736308</v>
      </c>
      <c r="I835" t="n">
        <v>0.4954496085458421</v>
      </c>
      <c r="J835" t="n">
        <v>0.0005831482371977</v>
      </c>
      <c r="K835" t="n">
        <v>0.9329771746814124</v>
      </c>
      <c r="L835" t="b">
        <v>0</v>
      </c>
      <c r="M835" t="b">
        <v>0</v>
      </c>
      <c r="N835" t="inlineStr">
        <is>
          <t>alt</t>
        </is>
      </c>
      <c r="O835" t="n">
        <v>-100</v>
      </c>
      <c r="P835" t="n">
        <v>0.016</v>
      </c>
      <c r="Q835" t="n">
        <v>-65</v>
      </c>
      <c r="R835" t="n">
        <v>0.09705</v>
      </c>
      <c r="S835">
        <f>IMAGE("https://mitra.stanford.edu/kundaje/oak/projects/neuro-variants/variant_position/credible/roussos_2024/variant_figures/roussos_2024.childhood.Astrocyte/rs7311211_count_position.png",4,220,900)</f>
        <v/>
      </c>
      <c r="T835">
        <f>IMAGE("https://mitra.stanford.edu/kundaje/oak/projects/neuro-variants/variant_position/credible/roussos_2024/variant_figures/roussos_2024.childhood.Astrocyte/rs7311211_profile_position.png",4,220,900)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0.218353846</v>
      </c>
      <c r="G836" t="n">
        <v>0.0149350953864182</v>
      </c>
      <c r="H836" t="n">
        <v>0.0291361443893106</v>
      </c>
      <c r="I836" t="n">
        <v>0.036047460624711</v>
      </c>
      <c r="J836" t="n">
        <v>0.0685466327768999</v>
      </c>
      <c r="K836" t="n">
        <v>0.4027894028743473</v>
      </c>
      <c r="L836" t="b">
        <v>1</v>
      </c>
      <c r="M836" t="b">
        <v>0</v>
      </c>
      <c r="N836" t="inlineStr">
        <is>
          <t>alt</t>
        </is>
      </c>
      <c r="O836" t="n">
        <v>80</v>
      </c>
      <c r="P836" t="n">
        <v>0.008699999999999999</v>
      </c>
      <c r="Q836" t="n">
        <v>-75</v>
      </c>
      <c r="R836" t="n">
        <v>0.0698</v>
      </c>
      <c r="S836">
        <f>IMAGE("https://mitra.stanford.edu/kundaje/oak/projects/neuro-variants/variant_position/credible/roussos_2024/variant_figures/roussos_2024.childhood.Astrocyte/rs11835590_count_position.png",4,220,900)</f>
        <v/>
      </c>
      <c r="T836">
        <f>IMAGE("https://mitra.stanford.edu/kundaje/oak/projects/neuro-variants/variant_position/credible/roussos_2024/variant_figures/roussos_2024.childhood.Astrocyte/rs11835590_profile_position.png",4,220,900)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-0.0334124402</v>
      </c>
      <c r="G837" t="n">
        <v>0.3481085833927235</v>
      </c>
      <c r="H837" t="n">
        <v>0.0196879076435426</v>
      </c>
      <c r="I837" t="n">
        <v>0.1347696944793632</v>
      </c>
      <c r="J837" t="n">
        <v>0.1132727286605145</v>
      </c>
      <c r="K837" t="n">
        <v>0.3062438442924654</v>
      </c>
      <c r="L837" t="b">
        <v>0</v>
      </c>
      <c r="M837" t="b">
        <v>0</v>
      </c>
      <c r="N837" t="inlineStr">
        <is>
          <t>ref</t>
        </is>
      </c>
      <c r="O837" t="n">
        <v>-100</v>
      </c>
      <c r="P837" t="n">
        <v>0.01057</v>
      </c>
      <c r="Q837" t="n">
        <v>-40</v>
      </c>
      <c r="R837" t="n">
        <v>0.1127</v>
      </c>
      <c r="S837">
        <f>IMAGE("https://mitra.stanford.edu/kundaje/oak/projects/neuro-variants/variant_position/credible/roussos_2024/variant_figures/roussos_2024.childhood.Astrocyte/rs1319893_count_position.png",4,220,900)</f>
        <v/>
      </c>
      <c r="T837">
        <f>IMAGE("https://mitra.stanford.edu/kundaje/oak/projects/neuro-variants/variant_position/credible/roussos_2024/variant_figures/roussos_2024.childhood.Astrocyte/rs1319893_profile_position.png",4,220,900)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-0.051293695</v>
      </c>
      <c r="G838" t="n">
        <v>0.2091697010371994</v>
      </c>
      <c r="H838" t="n">
        <v>0.0101639992104276</v>
      </c>
      <c r="I838" t="n">
        <v>0.6702909238289297</v>
      </c>
      <c r="J838" t="n">
        <v>0.0585315961011502</v>
      </c>
      <c r="K838" t="n">
        <v>0.4172810683959956</v>
      </c>
      <c r="L838" t="b">
        <v>0</v>
      </c>
      <c r="M838" t="b">
        <v>0</v>
      </c>
      <c r="N838" t="inlineStr">
        <is>
          <t>ref</t>
        </is>
      </c>
      <c r="O838" t="n">
        <v>90</v>
      </c>
      <c r="P838" t="n">
        <v>0.002525</v>
      </c>
      <c r="Q838" t="n">
        <v>100</v>
      </c>
      <c r="R838" t="n">
        <v>0.08495999999999999</v>
      </c>
      <c r="S838">
        <f>IMAGE("https://mitra.stanford.edu/kundaje/oak/projects/neuro-variants/variant_position/credible/roussos_2024/variant_figures/roussos_2024.childhood.Astrocyte/rs7311721_count_position.png",4,220,900)</f>
        <v/>
      </c>
      <c r="T838">
        <f>IMAGE("https://mitra.stanford.edu/kundaje/oak/projects/neuro-variants/variant_position/credible/roussos_2024/variant_figures/roussos_2024.childhood.Astrocyte/rs7311721_profile_position.png",4,220,900)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0.0050830357</v>
      </c>
      <c r="G839" t="n">
        <v>0.7752790816228062</v>
      </c>
      <c r="H839" t="n">
        <v>0.009116910557401599</v>
      </c>
      <c r="I839" t="n">
        <v>0.8015877435323298</v>
      </c>
      <c r="J839" t="n">
        <v>0.0035179714990114</v>
      </c>
      <c r="K839" t="n">
        <v>0.8126190929007902</v>
      </c>
      <c r="L839" t="b">
        <v>0</v>
      </c>
      <c r="M839" t="b">
        <v>0</v>
      </c>
      <c r="N839" t="inlineStr">
        <is>
          <t>alt</t>
        </is>
      </c>
      <c r="O839" t="n">
        <v>-95</v>
      </c>
      <c r="P839" t="n">
        <v>0.01826</v>
      </c>
      <c r="Q839" t="n">
        <v>-55</v>
      </c>
      <c r="R839" t="n">
        <v>0.08409999999999999</v>
      </c>
      <c r="S839">
        <f>IMAGE("https://mitra.stanford.edu/kundaje/oak/projects/neuro-variants/variant_position/credible/roussos_2024/variant_figures/roussos_2024.childhood.Astrocyte/rs7955942_count_position.png",4,220,900)</f>
        <v/>
      </c>
      <c r="T839">
        <f>IMAGE("https://mitra.stanford.edu/kundaje/oak/projects/neuro-variants/variant_position/credible/roussos_2024/variant_figures/roussos_2024.childhood.Astrocyte/rs7955942_profile_position.png",4,220,900)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-0.02320765514</v>
      </c>
      <c r="G840" t="n">
        <v>0.2419194599626789</v>
      </c>
      <c r="H840" t="n">
        <v>0.0182215037027868</v>
      </c>
      <c r="I840" t="n">
        <v>0.1876485168500984</v>
      </c>
      <c r="J840" t="n">
        <v>0.0455351758985749</v>
      </c>
      <c r="K840" t="n">
        <v>0.4652587475179004</v>
      </c>
      <c r="L840" t="b">
        <v>0</v>
      </c>
      <c r="M840" t="b">
        <v>0</v>
      </c>
      <c r="N840" t="inlineStr">
        <is>
          <t>ref</t>
        </is>
      </c>
      <c r="O840" t="n">
        <v>90</v>
      </c>
      <c r="P840" t="n">
        <v>0.03577</v>
      </c>
      <c r="Q840" t="n">
        <v>-50</v>
      </c>
      <c r="R840" t="n">
        <v>0.0227</v>
      </c>
      <c r="S840">
        <f>IMAGE("https://mitra.stanford.edu/kundaje/oak/projects/neuro-variants/variant_position/credible/roussos_2024/variant_figures/roussos_2024.childhood.Astrocyte/rs1814453_count_position.png",4,220,900)</f>
        <v/>
      </c>
      <c r="T840">
        <f>IMAGE("https://mitra.stanford.edu/kundaje/oak/projects/neuro-variants/variant_position/credible/roussos_2024/variant_figures/roussos_2024.childhood.Astrocyte/rs1814453_profile_position.png",4,220,900)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0.0153373862</v>
      </c>
      <c r="G841" t="n">
        <v>0.5191587909587612</v>
      </c>
      <c r="H841" t="n">
        <v>0.022897942957952</v>
      </c>
      <c r="I841" t="n">
        <v>0.07901206946768161</v>
      </c>
      <c r="J841" t="n">
        <v>0.0683855800569408</v>
      </c>
      <c r="K841" t="n">
        <v>0.3904574579916423</v>
      </c>
      <c r="L841" t="b">
        <v>0</v>
      </c>
      <c r="M841" t="b">
        <v>0</v>
      </c>
      <c r="N841" t="inlineStr">
        <is>
          <t>alt</t>
        </is>
      </c>
      <c r="O841" t="n">
        <v>15</v>
      </c>
      <c r="P841" t="n">
        <v>0.001106</v>
      </c>
      <c r="Q841" t="n">
        <v>-45</v>
      </c>
      <c r="R841" t="n">
        <v>0.09080000000000001</v>
      </c>
      <c r="S841">
        <f>IMAGE("https://mitra.stanford.edu/kundaje/oak/projects/neuro-variants/variant_position/credible/roussos_2024/variant_figures/roussos_2024.childhood.Astrocyte/rs3794799_count_position.png",4,220,900)</f>
        <v/>
      </c>
      <c r="T841">
        <f>IMAGE("https://mitra.stanford.edu/kundaje/oak/projects/neuro-variants/variant_position/credible/roussos_2024/variant_figures/roussos_2024.childhood.Astrocyte/rs3794799_profile_position.png",4,220,900)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0.00210631328</v>
      </c>
      <c r="G842" t="n">
        <v>0.8514748000232739</v>
      </c>
      <c r="H842" t="n">
        <v>0.0263088979601235</v>
      </c>
      <c r="I842" t="n">
        <v>0.0488093326498072</v>
      </c>
      <c r="J842" t="n">
        <v>0.0006602398235289</v>
      </c>
      <c r="K842" t="n">
        <v>0.9301250903099886</v>
      </c>
      <c r="L842" t="b">
        <v>0</v>
      </c>
      <c r="M842" t="b">
        <v>0</v>
      </c>
      <c r="N842" t="inlineStr">
        <is>
          <t>alt</t>
        </is>
      </c>
      <c r="O842" t="n">
        <v>-100</v>
      </c>
      <c r="P842" t="n">
        <v>0.003624</v>
      </c>
      <c r="Q842" t="n">
        <v>75</v>
      </c>
      <c r="R842" t="n">
        <v>0.0868</v>
      </c>
      <c r="S842">
        <f>IMAGE("https://mitra.stanford.edu/kundaje/oak/projects/neuro-variants/variant_position/credible/roussos_2024/variant_figures/roussos_2024.childhood.Astrocyte/rs6419378_count_position.png",4,220,900)</f>
        <v/>
      </c>
      <c r="T842">
        <f>IMAGE("https://mitra.stanford.edu/kundaje/oak/projects/neuro-variants/variant_position/credible/roussos_2024/variant_figures/roussos_2024.childhood.Astrocyte/rs6419378_profile_position.png",4,220,900)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0.0020657807119999</v>
      </c>
      <c r="G843" t="n">
        <v>0.8424544163089026</v>
      </c>
      <c r="H843" t="n">
        <v>0.0171460357932781</v>
      </c>
      <c r="I843" t="n">
        <v>0.2029824390460034</v>
      </c>
      <c r="J843" t="n">
        <v>0.0129605459000251</v>
      </c>
      <c r="K843" t="n">
        <v>0.6525738027111387</v>
      </c>
      <c r="L843" t="b">
        <v>0</v>
      </c>
      <c r="M843" t="b">
        <v>0</v>
      </c>
      <c r="N843" t="inlineStr">
        <is>
          <t>alt</t>
        </is>
      </c>
      <c r="O843" t="n">
        <v>0</v>
      </c>
      <c r="P843" t="n">
        <v>0</v>
      </c>
      <c r="Q843" t="n">
        <v>-80</v>
      </c>
      <c r="R843" t="n">
        <v>0.08400000000000001</v>
      </c>
      <c r="S843">
        <f>IMAGE("https://mitra.stanford.edu/kundaje/oak/projects/neuro-variants/variant_position/credible/roussos_2024/variant_figures/roussos_2024.childhood.Astrocyte/rs2372634_count_position.png",4,220,900)</f>
        <v/>
      </c>
      <c r="T843">
        <f>IMAGE("https://mitra.stanford.edu/kundaje/oak/projects/neuro-variants/variant_position/credible/roussos_2024/variant_figures/roussos_2024.childhood.Astrocyte/rs2372634_profile_position.png",4,220,900)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-0.01120851268</v>
      </c>
      <c r="G844" t="n">
        <v>0.6567400872182755</v>
      </c>
      <c r="H844" t="n">
        <v>0.0147940111237599</v>
      </c>
      <c r="I844" t="n">
        <v>0.3059867263562935</v>
      </c>
      <c r="J844" t="n">
        <v>0.0495668368787829</v>
      </c>
      <c r="K844" t="n">
        <v>0.4426814715873737</v>
      </c>
      <c r="L844" t="b">
        <v>0</v>
      </c>
      <c r="M844" t="b">
        <v>0</v>
      </c>
      <c r="N844" t="inlineStr">
        <is>
          <t>ref</t>
        </is>
      </c>
      <c r="O844" t="n">
        <v>-60</v>
      </c>
      <c r="P844" t="n">
        <v>0.007698</v>
      </c>
      <c r="Q844" t="n">
        <v>85</v>
      </c>
      <c r="R844" t="n">
        <v>0.11597</v>
      </c>
      <c r="S844">
        <f>IMAGE("https://mitra.stanford.edu/kundaje/oak/projects/neuro-variants/variant_position/credible/roussos_2024/variant_figures/roussos_2024.childhood.Astrocyte/rs7975384_count_position.png",4,220,900)</f>
        <v/>
      </c>
      <c r="T844">
        <f>IMAGE("https://mitra.stanford.edu/kundaje/oak/projects/neuro-variants/variant_position/credible/roussos_2024/variant_figures/roussos_2024.childhood.Astrocyte/rs7975384_profile_position.png",4,220,900)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0.0932241739999999</v>
      </c>
      <c r="G845" t="n">
        <v>0.07853736652447529</v>
      </c>
      <c r="H845" t="n">
        <v>0.015517361054938</v>
      </c>
      <c r="I845" t="n">
        <v>0.2758649330460053</v>
      </c>
      <c r="J845" t="n">
        <v>0.0047773885034309</v>
      </c>
      <c r="K845" t="n">
        <v>0.8209004729592149</v>
      </c>
      <c r="L845" t="b">
        <v>0</v>
      </c>
      <c r="M845" t="b">
        <v>0</v>
      </c>
      <c r="N845" t="inlineStr">
        <is>
          <t>alt</t>
        </is>
      </c>
      <c r="O845" t="n">
        <v>-30</v>
      </c>
      <c r="P845" t="n">
        <v>0.00881</v>
      </c>
      <c r="Q845" t="n">
        <v>-30</v>
      </c>
      <c r="R845" t="n">
        <v>0.1019</v>
      </c>
      <c r="S845">
        <f>IMAGE("https://mitra.stanford.edu/kundaje/oak/projects/neuro-variants/variant_position/credible/roussos_2024/variant_figures/roussos_2024.childhood.Astrocyte/rs2372636_count_position.png",4,220,900)</f>
        <v/>
      </c>
      <c r="T845">
        <f>IMAGE("https://mitra.stanford.edu/kundaje/oak/projects/neuro-variants/variant_position/credible/roussos_2024/variant_figures/roussos_2024.childhood.Astrocyte/rs2372636_profile_position.png",4,220,900)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-0.0071409805399999</v>
      </c>
      <c r="G846" t="n">
        <v>0.6488991354358794</v>
      </c>
      <c r="H846" t="n">
        <v>0.0261089527809126</v>
      </c>
      <c r="I846" t="n">
        <v>0.0514889899353682</v>
      </c>
      <c r="J846" t="n">
        <v>0.0469350369810629</v>
      </c>
      <c r="K846" t="n">
        <v>0.4831818495252529</v>
      </c>
      <c r="L846" t="b">
        <v>0</v>
      </c>
      <c r="M846" t="b">
        <v>0</v>
      </c>
      <c r="N846" t="inlineStr">
        <is>
          <t>ref</t>
        </is>
      </c>
      <c r="O846" t="n">
        <v>100</v>
      </c>
      <c r="P846" t="n">
        <v>0.00421</v>
      </c>
      <c r="Q846" t="n">
        <v>-100</v>
      </c>
      <c r="R846" t="n">
        <v>0.1145</v>
      </c>
      <c r="S846">
        <f>IMAGE("https://mitra.stanford.edu/kundaje/oak/projects/neuro-variants/variant_position/credible/roussos_2024/variant_figures/roussos_2024.childhood.Astrocyte/rs2372638_count_position.png",4,220,900)</f>
        <v/>
      </c>
      <c r="T846">
        <f>IMAGE("https://mitra.stanford.edu/kundaje/oak/projects/neuro-variants/variant_position/credible/roussos_2024/variant_figures/roussos_2024.childhood.Astrocyte/rs2372638_profile_position.png",4,220,900)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-0.0063514532</v>
      </c>
      <c r="G847" t="n">
        <v>0.7450708226161045</v>
      </c>
      <c r="H847" t="n">
        <v>0.03257418357282</v>
      </c>
      <c r="I847" t="n">
        <v>0.0216876394455949</v>
      </c>
      <c r="J847" t="n">
        <v>0.3372413424621984</v>
      </c>
      <c r="K847" t="n">
        <v>0.1135140496401566</v>
      </c>
      <c r="L847" t="b">
        <v>0</v>
      </c>
      <c r="M847" t="b">
        <v>0</v>
      </c>
      <c r="N847" t="inlineStr">
        <is>
          <t>ref</t>
        </is>
      </c>
      <c r="O847" t="n">
        <v>100</v>
      </c>
      <c r="P847" t="n">
        <v>0.0059</v>
      </c>
      <c r="Q847" t="n">
        <v>90</v>
      </c>
      <c r="R847" t="n">
        <v>0.05692</v>
      </c>
      <c r="S847">
        <f>IMAGE("https://mitra.stanford.edu/kundaje/oak/projects/neuro-variants/variant_position/credible/roussos_2024/variant_figures/roussos_2024.childhood.Astrocyte/rs7137868_count_position.png",4,220,900)</f>
        <v/>
      </c>
      <c r="T847">
        <f>IMAGE("https://mitra.stanford.edu/kundaje/oak/projects/neuro-variants/variant_position/credible/roussos_2024/variant_figures/roussos_2024.childhood.Astrocyte/rs7137868_profile_position.png",4,220,900)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-0.0025694588599999</v>
      </c>
      <c r="G848" t="n">
        <v>0.5918796510524157</v>
      </c>
      <c r="H848" t="n">
        <v>0.0253846118203961</v>
      </c>
      <c r="I848" t="n">
        <v>0.055476524803457</v>
      </c>
      <c r="J848" t="n">
        <v>0.1455893689939165</v>
      </c>
      <c r="K848" t="n">
        <v>0.2566157655989218</v>
      </c>
      <c r="L848" t="b">
        <v>0</v>
      </c>
      <c r="M848" t="b">
        <v>0</v>
      </c>
      <c r="N848" t="inlineStr">
        <is>
          <t>ref</t>
        </is>
      </c>
      <c r="O848" t="n">
        <v>55</v>
      </c>
      <c r="P848" t="n">
        <v>0.007034</v>
      </c>
      <c r="Q848" t="n">
        <v>100</v>
      </c>
      <c r="R848" t="n">
        <v>0.06850000000000001</v>
      </c>
      <c r="S848">
        <f>IMAGE("https://mitra.stanford.edu/kundaje/oak/projects/neuro-variants/variant_position/credible/roussos_2024/variant_figures/roussos_2024.childhood.Astrocyte/rs6538897_count_position.png",4,220,900)</f>
        <v/>
      </c>
      <c r="T848">
        <f>IMAGE("https://mitra.stanford.edu/kundaje/oak/projects/neuro-variants/variant_position/credible/roussos_2024/variant_figures/roussos_2024.childhood.Astrocyte/rs6538897_profile_position.png",4,220,900)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0.00277609044</v>
      </c>
      <c r="G849" t="n">
        <v>0.8723731052227777</v>
      </c>
      <c r="H849" t="n">
        <v>0.009335648304183101</v>
      </c>
      <c r="I849" t="n">
        <v>0.7527280224257259</v>
      </c>
      <c r="J849" t="n">
        <v>0.2665132467770373</v>
      </c>
      <c r="K849" t="n">
        <v>0.1515387236839606</v>
      </c>
      <c r="L849" t="b">
        <v>0</v>
      </c>
      <c r="M849" t="b">
        <v>0</v>
      </c>
      <c r="N849" t="inlineStr">
        <is>
          <t>alt</t>
        </is>
      </c>
      <c r="O849" t="n">
        <v>100</v>
      </c>
      <c r="P849" t="n">
        <v>0.127</v>
      </c>
      <c r="Q849" t="n">
        <v>100</v>
      </c>
      <c r="R849" t="n">
        <v>0.3652</v>
      </c>
      <c r="S849">
        <f>IMAGE("https://mitra.stanford.edu/kundaje/oak/projects/neuro-variants/variant_position/credible/roussos_2024/variant_figures/roussos_2024.childhood.Astrocyte/rs7299393_count_position.png",4,220,900)</f>
        <v/>
      </c>
      <c r="T849">
        <f>IMAGE("https://mitra.stanford.edu/kundaje/oak/projects/neuro-variants/variant_position/credible/roussos_2024/variant_figures/roussos_2024.childhood.Astrocyte/rs7299393_profile_position.png",4,220,900)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-0.04955596548</v>
      </c>
      <c r="G850" t="n">
        <v>0.2134956757707581</v>
      </c>
      <c r="H850" t="n">
        <v>0.0116646450069652</v>
      </c>
      <c r="I850" t="n">
        <v>0.5455118915819933</v>
      </c>
      <c r="J850" t="n">
        <v>0.0867913871142557</v>
      </c>
      <c r="K850" t="n">
        <v>0.3566682282733791</v>
      </c>
      <c r="L850" t="b">
        <v>0</v>
      </c>
      <c r="M850" t="b">
        <v>0</v>
      </c>
      <c r="N850" t="inlineStr">
        <is>
          <t>ref</t>
        </is>
      </c>
      <c r="O850" t="n">
        <v>-50</v>
      </c>
      <c r="P850" t="n">
        <v>0.06335</v>
      </c>
      <c r="Q850" t="n">
        <v>-75</v>
      </c>
      <c r="R850" t="n">
        <v>0.1045</v>
      </c>
      <c r="S850">
        <f>IMAGE("https://mitra.stanford.edu/kundaje/oak/projects/neuro-variants/variant_position/credible/roussos_2024/variant_figures/roussos_2024.childhood.Astrocyte/rs10860390_count_position.png",4,220,900)</f>
        <v/>
      </c>
      <c r="T850">
        <f>IMAGE("https://mitra.stanford.edu/kundaje/oak/projects/neuro-variants/variant_position/credible/roussos_2024/variant_figures/roussos_2024.childhood.Astrocyte/rs10860390_profile_position.png",4,220,900)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-0.2118102036</v>
      </c>
      <c r="G851" t="n">
        <v>0.0191385324588545</v>
      </c>
      <c r="H851" t="n">
        <v>0.0372690414063007</v>
      </c>
      <c r="I851" t="n">
        <v>0.0167368104474901</v>
      </c>
      <c r="J851" t="n">
        <v>0.0388572126430201</v>
      </c>
      <c r="K851" t="n">
        <v>0.5047414729918313</v>
      </c>
      <c r="L851" t="b">
        <v>1</v>
      </c>
      <c r="M851" t="b">
        <v>0</v>
      </c>
      <c r="N851" t="inlineStr">
        <is>
          <t>ref</t>
        </is>
      </c>
      <c r="O851" t="n">
        <v>-85</v>
      </c>
      <c r="P851" t="n">
        <v>0.03833</v>
      </c>
      <c r="Q851" t="n">
        <v>-100</v>
      </c>
      <c r="R851" t="n">
        <v>0.1716</v>
      </c>
      <c r="S851">
        <f>IMAGE("https://mitra.stanford.edu/kundaje/oak/projects/neuro-variants/variant_position/credible/roussos_2024/variant_figures/roussos_2024.childhood.Astrocyte/rs10745841_count_position.png",4,220,900)</f>
        <v/>
      </c>
      <c r="T851">
        <f>IMAGE("https://mitra.stanford.edu/kundaje/oak/projects/neuro-variants/variant_position/credible/roussos_2024/variant_figures/roussos_2024.childhood.Astrocyte/rs10745841_profile_position.png",4,220,900)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0.0637568868</v>
      </c>
      <c r="G852" t="n">
        <v>0.1557403174304292</v>
      </c>
      <c r="H852" t="n">
        <v>0.0175328421170031</v>
      </c>
      <c r="I852" t="n">
        <v>0.1908889060866698</v>
      </c>
      <c r="J852" t="n">
        <v>0.0582148336424629</v>
      </c>
      <c r="K852" t="n">
        <v>0.4307774896301909</v>
      </c>
      <c r="L852" t="b">
        <v>0</v>
      </c>
      <c r="M852" t="b">
        <v>0</v>
      </c>
      <c r="N852" t="inlineStr">
        <is>
          <t>alt</t>
        </is>
      </c>
      <c r="O852" t="n">
        <v>90</v>
      </c>
      <c r="P852" t="n">
        <v>0.002617</v>
      </c>
      <c r="Q852" t="n">
        <v>-100</v>
      </c>
      <c r="R852" t="n">
        <v>0.1096</v>
      </c>
      <c r="S852">
        <f>IMAGE("https://mitra.stanford.edu/kundaje/oak/projects/neuro-variants/variant_position/credible/roussos_2024/variant_figures/roussos_2024.childhood.Astrocyte/rs80096598_count_position.png",4,220,900)</f>
        <v/>
      </c>
      <c r="T852">
        <f>IMAGE("https://mitra.stanford.edu/kundaje/oak/projects/neuro-variants/variant_position/credible/roussos_2024/variant_figures/roussos_2024.childhood.Astrocyte/rs80096598_profile_position.png",4,220,900)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-0.0244892592</v>
      </c>
      <c r="G853" t="n">
        <v>0.307162623308802</v>
      </c>
      <c r="H853" t="n">
        <v>0.013260024255595</v>
      </c>
      <c r="I853" t="n">
        <v>0.4075611382794458</v>
      </c>
      <c r="J853" t="n">
        <v>0.0379199010785188</v>
      </c>
      <c r="K853" t="n">
        <v>0.4958327561749809</v>
      </c>
      <c r="L853" t="b">
        <v>0</v>
      </c>
      <c r="M853" t="b">
        <v>0</v>
      </c>
      <c r="N853" t="inlineStr">
        <is>
          <t>ref</t>
        </is>
      </c>
      <c r="O853" t="n">
        <v>-55</v>
      </c>
      <c r="P853" t="n">
        <v>0.003784</v>
      </c>
      <c r="Q853" t="n">
        <v>-95</v>
      </c>
      <c r="R853" t="n">
        <v>0.07779999999999999</v>
      </c>
      <c r="S853">
        <f>IMAGE("https://mitra.stanford.edu/kundaje/oak/projects/neuro-variants/variant_position/credible/roussos_2024/variant_figures/roussos_2024.childhood.Astrocyte/rs117856328_count_position.png",4,220,900)</f>
        <v/>
      </c>
      <c r="T853">
        <f>IMAGE("https://mitra.stanford.edu/kundaje/oak/projects/neuro-variants/variant_position/credible/roussos_2024/variant_figures/roussos_2024.childhood.Astrocyte/rs117856328_profile_position.png",4,220,900)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0.0385858938</v>
      </c>
      <c r="G854" t="n">
        <v>0.3000610345746726</v>
      </c>
      <c r="H854" t="n">
        <v>0.0077499556429286</v>
      </c>
      <c r="I854" t="n">
        <v>0.9266021509070518</v>
      </c>
      <c r="J854" t="n">
        <v>0.2085228183462709</v>
      </c>
      <c r="K854" t="n">
        <v>0.2011177869903077</v>
      </c>
      <c r="L854" t="b">
        <v>0</v>
      </c>
      <c r="M854" t="b">
        <v>0</v>
      </c>
      <c r="N854" t="inlineStr">
        <is>
          <t>alt</t>
        </is>
      </c>
      <c r="O854" t="n">
        <v>-100</v>
      </c>
      <c r="P854" t="n">
        <v>0.128</v>
      </c>
      <c r="Q854" t="n">
        <v>100</v>
      </c>
      <c r="R854" t="n">
        <v>0.0475</v>
      </c>
      <c r="S854">
        <f>IMAGE("https://mitra.stanford.edu/kundaje/oak/projects/neuro-variants/variant_position/credible/roussos_2024/variant_figures/roussos_2024.childhood.Astrocyte/rs77165492_count_position.png",4,220,900)</f>
        <v/>
      </c>
      <c r="T854">
        <f>IMAGE("https://mitra.stanford.edu/kundaje/oak/projects/neuro-variants/variant_position/credible/roussos_2024/variant_figures/roussos_2024.childhood.Astrocyte/rs77165492_profile_position.png",4,220,900)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-0.290162866</v>
      </c>
      <c r="G855" t="n">
        <v>0.0064776760930627</v>
      </c>
      <c r="H855" t="n">
        <v>0.0302966602179393</v>
      </c>
      <c r="I855" t="n">
        <v>0.0323897042495907</v>
      </c>
      <c r="J855" t="n">
        <v>0.3439925808889194</v>
      </c>
      <c r="K855" t="n">
        <v>0.1113663805098625</v>
      </c>
      <c r="L855" t="b">
        <v>1</v>
      </c>
      <c r="M855" t="b">
        <v>1</v>
      </c>
      <c r="N855" t="inlineStr">
        <is>
          <t>ref</t>
        </is>
      </c>
      <c r="O855" t="n">
        <v>95</v>
      </c>
      <c r="P855" t="n">
        <v>0.009220000000000001</v>
      </c>
      <c r="Q855" t="n">
        <v>75</v>
      </c>
      <c r="R855" t="n">
        <v>0.1411</v>
      </c>
      <c r="S855">
        <f>IMAGE("https://mitra.stanford.edu/kundaje/oak/projects/neuro-variants/variant_position/credible/roussos_2024/variant_figures/roussos_2024.childhood.Astrocyte/rs76093694_count_position.png",4,220,900)</f>
        <v/>
      </c>
      <c r="T855">
        <f>IMAGE("https://mitra.stanford.edu/kundaje/oak/projects/neuro-variants/variant_position/credible/roussos_2024/variant_figures/roussos_2024.childhood.Astrocyte/rs76093694_profile_position.png",4,220,900)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0.0248696452</v>
      </c>
      <c r="G856" t="n">
        <v>0.4423142073995619</v>
      </c>
      <c r="H856" t="n">
        <v>0.0401089899462684</v>
      </c>
      <c r="I856" t="n">
        <v>0.0096427052847555</v>
      </c>
      <c r="J856" t="n">
        <v>0.0005907810675275001</v>
      </c>
      <c r="K856" t="n">
        <v>0.9272932549605</v>
      </c>
      <c r="L856" t="b">
        <v>0</v>
      </c>
      <c r="M856" t="b">
        <v>0</v>
      </c>
      <c r="N856" t="inlineStr">
        <is>
          <t>alt</t>
        </is>
      </c>
      <c r="O856" t="n">
        <v>90</v>
      </c>
      <c r="P856" t="n">
        <v>0.03928</v>
      </c>
      <c r="Q856" t="n">
        <v>85</v>
      </c>
      <c r="R856" t="n">
        <v>0.2101</v>
      </c>
      <c r="S856">
        <f>IMAGE("https://mitra.stanford.edu/kundaje/oak/projects/neuro-variants/variant_position/credible/roussos_2024/variant_figures/roussos_2024.childhood.Astrocyte/rs12582033_count_position.png",4,220,900)</f>
        <v/>
      </c>
      <c r="T856">
        <f>IMAGE("https://mitra.stanford.edu/kundaje/oak/projects/neuro-variants/variant_position/credible/roussos_2024/variant_figures/roussos_2024.childhood.Astrocyte/rs12582033_profile_position.png",4,220,900)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-0.0440455347999999</v>
      </c>
      <c r="G857" t="n">
        <v>0.2676116130418771</v>
      </c>
      <c r="H857" t="n">
        <v>0.0113704537873281</v>
      </c>
      <c r="I857" t="n">
        <v>0.5676391711268821</v>
      </c>
      <c r="J857" t="n">
        <v>0.2566378908963233</v>
      </c>
      <c r="K857" t="n">
        <v>0.1638186210322055</v>
      </c>
      <c r="L857" t="b">
        <v>0</v>
      </c>
      <c r="M857" t="b">
        <v>0</v>
      </c>
      <c r="N857" t="inlineStr">
        <is>
          <t>ref</t>
        </is>
      </c>
      <c r="O857" t="n">
        <v>-80</v>
      </c>
      <c r="P857" t="n">
        <v>0.00783</v>
      </c>
      <c r="Q857" t="n">
        <v>20</v>
      </c>
      <c r="R857" t="n">
        <v>0.1017</v>
      </c>
      <c r="S857">
        <f>IMAGE("https://mitra.stanford.edu/kundaje/oak/projects/neuro-variants/variant_position/credible/roussos_2024/variant_figures/roussos_2024.childhood.Astrocyte/rs77743764_count_position.png",4,220,900)</f>
        <v/>
      </c>
      <c r="T857">
        <f>IMAGE("https://mitra.stanford.edu/kundaje/oak/projects/neuro-variants/variant_position/credible/roussos_2024/variant_figures/roussos_2024.childhood.Astrocyte/rs77743764_profile_position.png",4,220,900)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0.0300368834</v>
      </c>
      <c r="G858" t="n">
        <v>0.2782814647314711</v>
      </c>
      <c r="H858" t="n">
        <v>0.0174035938221011</v>
      </c>
      <c r="I858" t="n">
        <v>0.2080545105542735</v>
      </c>
      <c r="J858" t="n">
        <v>0.2660598566554464</v>
      </c>
      <c r="K858" t="n">
        <v>0.156791602487924</v>
      </c>
      <c r="L858" t="b">
        <v>0</v>
      </c>
      <c r="M858" t="b">
        <v>0</v>
      </c>
      <c r="N858" t="inlineStr">
        <is>
          <t>alt</t>
        </is>
      </c>
      <c r="O858" t="n">
        <v>-95</v>
      </c>
      <c r="P858" t="n">
        <v>0.049</v>
      </c>
      <c r="Q858" t="n">
        <v>-100</v>
      </c>
      <c r="R858" t="n">
        <v>0.06464</v>
      </c>
      <c r="S858">
        <f>IMAGE("https://mitra.stanford.edu/kundaje/oak/projects/neuro-variants/variant_position/credible/roussos_2024/variant_figures/roussos_2024.childhood.Astrocyte/rs61939221_count_position.png",4,220,900)</f>
        <v/>
      </c>
      <c r="T858">
        <f>IMAGE("https://mitra.stanford.edu/kundaje/oak/projects/neuro-variants/variant_position/credible/roussos_2024/variant_figures/roussos_2024.childhood.Astrocyte/rs61939221_profile_position.png",4,220,900)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-0.0154797909999999</v>
      </c>
      <c r="G859" t="n">
        <v>0.6143596992916421</v>
      </c>
      <c r="H859" t="n">
        <v>0.0477121298616094</v>
      </c>
      <c r="I859" t="n">
        <v>0.0048375563904559</v>
      </c>
      <c r="J859" t="n">
        <v>0.0094799752696296</v>
      </c>
      <c r="K859" t="n">
        <v>0.693680847720792</v>
      </c>
      <c r="L859" t="b">
        <v>0</v>
      </c>
      <c r="M859" t="b">
        <v>0</v>
      </c>
      <c r="N859" t="inlineStr">
        <is>
          <t>ref</t>
        </is>
      </c>
      <c r="O859" t="n">
        <v>75</v>
      </c>
      <c r="P859" t="n">
        <v>0.002808</v>
      </c>
      <c r="Q859" t="n">
        <v>75</v>
      </c>
      <c r="R859" t="n">
        <v>0.08069999999999999</v>
      </c>
      <c r="S859">
        <f>IMAGE("https://mitra.stanford.edu/kundaje/oak/projects/neuro-variants/variant_position/credible/roussos_2024/variant_figures/roussos_2024.childhood.Astrocyte/rs4609668_count_position.png",4,220,900)</f>
        <v/>
      </c>
      <c r="T859">
        <f>IMAGE("https://mitra.stanford.edu/kundaje/oak/projects/neuro-variants/variant_position/credible/roussos_2024/variant_figures/roussos_2024.childhood.Astrocyte/rs4609668_profile_position.png",4,220,900)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-0.0446033598</v>
      </c>
      <c r="G860" t="n">
        <v>0.2413031313062859</v>
      </c>
      <c r="H860" t="n">
        <v>0.0134902814259854</v>
      </c>
      <c r="I860" t="n">
        <v>0.3963846254940391</v>
      </c>
      <c r="J860" t="n">
        <v>0.0399937410791294</v>
      </c>
      <c r="K860" t="n">
        <v>0.4818525966625044</v>
      </c>
      <c r="L860" t="b">
        <v>0</v>
      </c>
      <c r="M860" t="b">
        <v>0</v>
      </c>
      <c r="N860" t="inlineStr">
        <is>
          <t>ref</t>
        </is>
      </c>
      <c r="O860" t="n">
        <v>75</v>
      </c>
      <c r="P860" t="n">
        <v>0.005997</v>
      </c>
      <c r="Q860" t="n">
        <v>40</v>
      </c>
      <c r="R860" t="n">
        <v>0.1443</v>
      </c>
      <c r="S860">
        <f>IMAGE("https://mitra.stanford.edu/kundaje/oak/projects/neuro-variants/variant_position/credible/roussos_2024/variant_figures/roussos_2024.childhood.Astrocyte/rs4445711_count_position.png",4,220,900)</f>
        <v/>
      </c>
      <c r="T860">
        <f>IMAGE("https://mitra.stanford.edu/kundaje/oak/projects/neuro-variants/variant_position/credible/roussos_2024/variant_figures/roussos_2024.childhood.Astrocyte/rs4445711_profile_position.png",4,220,900)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0.003074869054</v>
      </c>
      <c r="G861" t="n">
        <v>0.6077034168237615</v>
      </c>
      <c r="H861" t="n">
        <v>0.009088047273152501</v>
      </c>
      <c r="I861" t="n">
        <v>0.8001255169418512</v>
      </c>
      <c r="J861" t="n">
        <v>0.086945570286918</v>
      </c>
      <c r="K861" t="n">
        <v>0.3476309900359759</v>
      </c>
      <c r="L861" t="b">
        <v>0</v>
      </c>
      <c r="M861" t="b">
        <v>0</v>
      </c>
      <c r="N861" t="inlineStr">
        <is>
          <t>alt</t>
        </is>
      </c>
      <c r="O861" t="n">
        <v>100</v>
      </c>
      <c r="P861" t="n">
        <v>0.0147</v>
      </c>
      <c r="Q861" t="n">
        <v>-35</v>
      </c>
      <c r="R861" t="n">
        <v>0.02661</v>
      </c>
      <c r="S861">
        <f>IMAGE("https://mitra.stanford.edu/kundaje/oak/projects/neuro-variants/variant_position/credible/roussos_2024/variant_figures/roussos_2024.childhood.Astrocyte/rs1981936_count_position.png",4,220,900)</f>
        <v/>
      </c>
      <c r="T861">
        <f>IMAGE("https://mitra.stanford.edu/kundaje/oak/projects/neuro-variants/variant_position/credible/roussos_2024/variant_figures/roussos_2024.childhood.Astrocyte/rs1981936_profile_position.png",4,220,900)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-0.0897569</v>
      </c>
      <c r="G862" t="n">
        <v>0.0916394875493821</v>
      </c>
      <c r="H862" t="n">
        <v>0.0127316101219894</v>
      </c>
      <c r="I862" t="n">
        <v>0.4594167432136163</v>
      </c>
      <c r="J862" t="n">
        <v>0.0574332318166898</v>
      </c>
      <c r="K862" t="n">
        <v>0.4863283150222938</v>
      </c>
      <c r="L862" t="b">
        <v>0</v>
      </c>
      <c r="M862" t="b">
        <v>0</v>
      </c>
      <c r="N862" t="inlineStr">
        <is>
          <t>ref</t>
        </is>
      </c>
      <c r="O862" t="n">
        <v>100</v>
      </c>
      <c r="P862" t="n">
        <v>0.00874</v>
      </c>
      <c r="Q862" t="n">
        <v>-35</v>
      </c>
      <c r="R862" t="n">
        <v>0.1238</v>
      </c>
      <c r="S862">
        <f>IMAGE("https://mitra.stanford.edu/kundaje/oak/projects/neuro-variants/variant_position/credible/roussos_2024/variant_figures/roussos_2024.childhood.Astrocyte/rs7976025_count_position.png",4,220,900)</f>
        <v/>
      </c>
      <c r="T862">
        <f>IMAGE("https://mitra.stanford.edu/kundaje/oak/projects/neuro-variants/variant_position/credible/roussos_2024/variant_figures/roussos_2024.childhood.Astrocyte/rs7976025_profile_position.png",4,220,900)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0.0507128212</v>
      </c>
      <c r="G863" t="n">
        <v>0.208471441593837</v>
      </c>
      <c r="H863" t="n">
        <v>0.0128308128709303</v>
      </c>
      <c r="I863" t="n">
        <v>0.4298652672457584</v>
      </c>
      <c r="J863" t="n">
        <v>0.0352964972941615</v>
      </c>
      <c r="K863" t="n">
        <v>0.5492156593755543</v>
      </c>
      <c r="L863" t="b">
        <v>0</v>
      </c>
      <c r="M863" t="b">
        <v>0</v>
      </c>
      <c r="N863" t="inlineStr">
        <is>
          <t>alt</t>
        </is>
      </c>
      <c r="O863" t="n">
        <v>-50</v>
      </c>
      <c r="P863" t="n">
        <v>0.01453</v>
      </c>
      <c r="Q863" t="n">
        <v>-65</v>
      </c>
      <c r="R863" t="n">
        <v>0.0902</v>
      </c>
      <c r="S863">
        <f>IMAGE("https://mitra.stanford.edu/kundaje/oak/projects/neuro-variants/variant_position/credible/roussos_2024/variant_figures/roussos_2024.childhood.Astrocyte/rs10778611_count_position.png",4,220,900)</f>
        <v/>
      </c>
      <c r="T863">
        <f>IMAGE("https://mitra.stanford.edu/kundaje/oak/projects/neuro-variants/variant_position/credible/roussos_2024/variant_figures/roussos_2024.childhood.Astrocyte/rs10778611_profile_position.png",4,220,900)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0.0187071601599999</v>
      </c>
      <c r="G864" t="n">
        <v>0.3573721757040771</v>
      </c>
      <c r="H864" t="n">
        <v>0.0105735921555448</v>
      </c>
      <c r="I864" t="n">
        <v>0.5961776741120304</v>
      </c>
      <c r="J864" t="n">
        <v>0.1405997878073168</v>
      </c>
      <c r="K864" t="n">
        <v>0.2648807750101329</v>
      </c>
      <c r="L864" t="b">
        <v>0</v>
      </c>
      <c r="M864" t="b">
        <v>0</v>
      </c>
      <c r="N864" t="inlineStr">
        <is>
          <t>alt</t>
        </is>
      </c>
      <c r="O864" t="n">
        <v>40</v>
      </c>
      <c r="P864" t="n">
        <v>0.01285</v>
      </c>
      <c r="Q864" t="n">
        <v>-15</v>
      </c>
      <c r="R864" t="n">
        <v>0.0458</v>
      </c>
      <c r="S864">
        <f>IMAGE("https://mitra.stanford.edu/kundaje/oak/projects/neuro-variants/variant_position/credible/roussos_2024/variant_figures/roussos_2024.childhood.Astrocyte/rs4964233_count_position.png",4,220,900)</f>
        <v/>
      </c>
      <c r="T864">
        <f>IMAGE("https://mitra.stanford.edu/kundaje/oak/projects/neuro-variants/variant_position/credible/roussos_2024/variant_figures/roussos_2024.childhood.Astrocyte/rs4964233_profile_position.png",4,220,900)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0.0847189103999999</v>
      </c>
      <c r="G865" t="n">
        <v>0.09168093549947121</v>
      </c>
      <c r="H865" t="n">
        <v>0.012655631899302</v>
      </c>
      <c r="I865" t="n">
        <v>0.4591577803092487</v>
      </c>
      <c r="J865" t="n">
        <v>0.0300565592727438</v>
      </c>
      <c r="K865" t="n">
        <v>0.5356034468372309</v>
      </c>
      <c r="L865" t="b">
        <v>0</v>
      </c>
      <c r="M865" t="b">
        <v>0</v>
      </c>
      <c r="N865" t="inlineStr">
        <is>
          <t>alt</t>
        </is>
      </c>
      <c r="O865" t="n">
        <v>100</v>
      </c>
      <c r="P865" t="n">
        <v>0.00396</v>
      </c>
      <c r="Q865" t="n">
        <v>30</v>
      </c>
      <c r="R865" t="n">
        <v>0.02994</v>
      </c>
      <c r="S865">
        <f>IMAGE("https://mitra.stanford.edu/kundaje/oak/projects/neuro-variants/variant_position/credible/roussos_2024/variant_figures/roussos_2024.childhood.Astrocyte/rs2374969_count_position.png",4,220,900)</f>
        <v/>
      </c>
      <c r="T865">
        <f>IMAGE("https://mitra.stanford.edu/kundaje/oak/projects/neuro-variants/variant_position/credible/roussos_2024/variant_figures/roussos_2024.childhood.Astrocyte/rs2374969_profile_position.png",4,220,900)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-0.0032607591199999</v>
      </c>
      <c r="G866" t="n">
        <v>0.8446197003864417</v>
      </c>
      <c r="H866" t="n">
        <v>0.007907631046602</v>
      </c>
      <c r="I866" t="n">
        <v>0.915351711633669</v>
      </c>
      <c r="J866" t="n">
        <v>0.006252051323151</v>
      </c>
      <c r="K866" t="n">
        <v>0.7607773542480259</v>
      </c>
      <c r="L866" t="b">
        <v>0</v>
      </c>
      <c r="M866" t="b">
        <v>0</v>
      </c>
      <c r="N866" t="inlineStr">
        <is>
          <t>ref</t>
        </is>
      </c>
      <c r="O866" t="n">
        <v>-55</v>
      </c>
      <c r="P866" t="n">
        <v>0.009169999999999999</v>
      </c>
      <c r="Q866" t="n">
        <v>90</v>
      </c>
      <c r="R866" t="n">
        <v>0.09753000000000001</v>
      </c>
      <c r="S866">
        <f>IMAGE("https://mitra.stanford.edu/kundaje/oak/projects/neuro-variants/variant_position/credible/roussos_2024/variant_figures/roussos_2024.childhood.Astrocyte/rs10778612_count_position.png",4,220,900)</f>
        <v/>
      </c>
      <c r="T866">
        <f>IMAGE("https://mitra.stanford.edu/kundaje/oak/projects/neuro-variants/variant_position/credible/roussos_2024/variant_figures/roussos_2024.childhood.Astrocyte/rs10778612_profile_position.png",4,220,900)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0.0549768886</v>
      </c>
      <c r="G867" t="n">
        <v>0.1948809307661868</v>
      </c>
      <c r="H867" t="n">
        <v>0.0135006552645714</v>
      </c>
      <c r="I867" t="n">
        <v>0.394393153160803</v>
      </c>
      <c r="J867" t="n">
        <v>0.0090594063184569</v>
      </c>
      <c r="K867" t="n">
        <v>0.7114549728659658</v>
      </c>
      <c r="L867" t="b">
        <v>0</v>
      </c>
      <c r="M867" t="b">
        <v>0</v>
      </c>
      <c r="N867" t="inlineStr">
        <is>
          <t>alt</t>
        </is>
      </c>
      <c r="O867" t="n">
        <v>-95</v>
      </c>
      <c r="P867" t="n">
        <v>0.01389</v>
      </c>
      <c r="Q867" t="n">
        <v>-70</v>
      </c>
      <c r="R867" t="n">
        <v>0.1418</v>
      </c>
      <c r="S867">
        <f>IMAGE("https://mitra.stanford.edu/kundaje/oak/projects/neuro-variants/variant_position/credible/roussos_2024/variant_figures/roussos_2024.childhood.Astrocyte/rs10778613_count_position.png",4,220,900)</f>
        <v/>
      </c>
      <c r="T867">
        <f>IMAGE("https://mitra.stanford.edu/kundaje/oak/projects/neuro-variants/variant_position/credible/roussos_2024/variant_figures/roussos_2024.childhood.Astrocyte/rs10778613_profile_position.png",4,220,900)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-0.0394513926</v>
      </c>
      <c r="G868" t="n">
        <v>0.2974055263721771</v>
      </c>
      <c r="H868" t="n">
        <v>0.0135335752746215</v>
      </c>
      <c r="I868" t="n">
        <v>0.3933895409526022</v>
      </c>
      <c r="J868" t="n">
        <v>0.0030287070748703</v>
      </c>
      <c r="K868" t="n">
        <v>0.828521367058536</v>
      </c>
      <c r="L868" t="b">
        <v>0</v>
      </c>
      <c r="M868" t="b">
        <v>0</v>
      </c>
      <c r="N868" t="inlineStr">
        <is>
          <t>ref</t>
        </is>
      </c>
      <c r="O868" t="n">
        <v>100</v>
      </c>
      <c r="P868" t="n">
        <v>0.004314</v>
      </c>
      <c r="Q868" t="n">
        <v>-85</v>
      </c>
      <c r="R868" t="n">
        <v>0.08136</v>
      </c>
      <c r="S868">
        <f>IMAGE("https://mitra.stanford.edu/kundaje/oak/projects/neuro-variants/variant_position/credible/roussos_2024/variant_figures/roussos_2024.childhood.Astrocyte/rs2162290_count_position.png",4,220,900)</f>
        <v/>
      </c>
      <c r="T868">
        <f>IMAGE("https://mitra.stanford.edu/kundaje/oak/projects/neuro-variants/variant_position/credible/roussos_2024/variant_figures/roussos_2024.childhood.Astrocyte/rs2162290_profile_position.png",4,220,900)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-0.0295624868</v>
      </c>
      <c r="G869" t="n">
        <v>0.3064332802458465</v>
      </c>
      <c r="H869" t="n">
        <v>0.0142044735660783</v>
      </c>
      <c r="I869" t="n">
        <v>0.342760924625094</v>
      </c>
      <c r="J869" t="n">
        <v>0.3817766175875676</v>
      </c>
      <c r="K869" t="n">
        <v>0.0928316906844546</v>
      </c>
      <c r="L869" t="b">
        <v>0</v>
      </c>
      <c r="M869" t="b">
        <v>0</v>
      </c>
      <c r="N869" t="inlineStr">
        <is>
          <t>ref</t>
        </is>
      </c>
      <c r="O869" t="n">
        <v>-65</v>
      </c>
      <c r="P869" t="n">
        <v>0.003387</v>
      </c>
      <c r="Q869" t="n">
        <v>0</v>
      </c>
      <c r="R869" t="n">
        <v>0</v>
      </c>
      <c r="S869">
        <f>IMAGE("https://mitra.stanford.edu/kundaje/oak/projects/neuro-variants/variant_position/credible/roussos_2024/variant_figures/roussos_2024.childhood.Astrocyte/rs1365309_count_position.png",4,220,900)</f>
        <v/>
      </c>
      <c r="T869">
        <f>IMAGE("https://mitra.stanford.edu/kundaje/oak/projects/neuro-variants/variant_position/credible/roussos_2024/variant_figures/roussos_2024.childhood.Astrocyte/rs1365309_profile_position.png",4,220,900)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0.267825324</v>
      </c>
      <c r="G870" t="n">
        <v>0.0082676174564832</v>
      </c>
      <c r="H870" t="n">
        <v>0.0319690486645617</v>
      </c>
      <c r="I870" t="n">
        <v>0.0251533231767055</v>
      </c>
      <c r="J870" t="n">
        <v>0.1284681672811095</v>
      </c>
      <c r="K870" t="n">
        <v>0.2850480467754749</v>
      </c>
      <c r="L870" t="b">
        <v>1</v>
      </c>
      <c r="M870" t="b">
        <v>1</v>
      </c>
      <c r="N870" t="inlineStr">
        <is>
          <t>alt</t>
        </is>
      </c>
      <c r="O870" t="n">
        <v>-55</v>
      </c>
      <c r="P870" t="n">
        <v>0.001656</v>
      </c>
      <c r="Q870" t="n">
        <v>-55</v>
      </c>
      <c r="R870" t="n">
        <v>0.04803</v>
      </c>
      <c r="S870">
        <f>IMAGE("https://mitra.stanford.edu/kundaje/oak/projects/neuro-variants/variant_position/credible/roussos_2024/variant_figures/roussos_2024.childhood.Astrocyte/rs1106752_count_position.png",4,220,900)</f>
        <v/>
      </c>
      <c r="T870">
        <f>IMAGE("https://mitra.stanford.edu/kundaje/oak/projects/neuro-variants/variant_position/credible/roussos_2024/variant_figures/roussos_2024.childhood.Astrocyte/rs1106752_profile_position.png",4,220,900)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0.17588838</v>
      </c>
      <c r="G871" t="n">
        <v>0.0249157197377276</v>
      </c>
      <c r="H871" t="n">
        <v>0.0314348530939195</v>
      </c>
      <c r="I871" t="n">
        <v>0.0259368446764373</v>
      </c>
      <c r="J871" t="n">
        <v>0.0098723027485821</v>
      </c>
      <c r="K871" t="n">
        <v>0.6976118821328104</v>
      </c>
      <c r="L871" t="b">
        <v>0</v>
      </c>
      <c r="M871" t="b">
        <v>0</v>
      </c>
      <c r="N871" t="inlineStr">
        <is>
          <t>alt</t>
        </is>
      </c>
      <c r="O871" t="n">
        <v>75</v>
      </c>
      <c r="P871" t="n">
        <v>0.01037</v>
      </c>
      <c r="Q871" t="n">
        <v>50</v>
      </c>
      <c r="R871" t="n">
        <v>0.0701</v>
      </c>
      <c r="S871">
        <f>IMAGE("https://mitra.stanford.edu/kundaje/oak/projects/neuro-variants/variant_position/credible/roussos_2024/variant_figures/roussos_2024.childhood.Astrocyte/rs7973976_count_position.png",4,220,900)</f>
        <v/>
      </c>
      <c r="T871">
        <f>IMAGE("https://mitra.stanford.edu/kundaje/oak/projects/neuro-variants/variant_position/credible/roussos_2024/variant_figures/roussos_2024.childhood.Astrocyte/rs7973976_profile_position.png",4,220,900)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0.0030679415</v>
      </c>
      <c r="G872" t="n">
        <v>0.8206722384748499</v>
      </c>
      <c r="H872" t="n">
        <v>0.0290636884186345</v>
      </c>
      <c r="I872" t="n">
        <v>0.0337931326069548</v>
      </c>
      <c r="J872" t="n">
        <v>0.0355895979788264</v>
      </c>
      <c r="K872" t="n">
        <v>0.5168012561094958</v>
      </c>
      <c r="L872" t="b">
        <v>0</v>
      </c>
      <c r="M872" t="b">
        <v>0</v>
      </c>
      <c r="N872" t="inlineStr">
        <is>
          <t>alt</t>
        </is>
      </c>
      <c r="O872" t="n">
        <v>20</v>
      </c>
      <c r="P872" t="n">
        <v>0.001343</v>
      </c>
      <c r="Q872" t="n">
        <v>10</v>
      </c>
      <c r="R872" t="n">
        <v>0.01746</v>
      </c>
      <c r="S872">
        <f>IMAGE("https://mitra.stanford.edu/kundaje/oak/projects/neuro-variants/variant_position/credible/roussos_2024/variant_figures/roussos_2024.childhood.Astrocyte/rs7313402_count_position.png",4,220,900)</f>
        <v/>
      </c>
      <c r="T872">
        <f>IMAGE("https://mitra.stanford.edu/kundaje/oak/projects/neuro-variants/variant_position/credible/roussos_2024/variant_figures/roussos_2024.childhood.Astrocyte/rs7313402_profile_position.png",4,220,900)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-0.0391128978</v>
      </c>
      <c r="G873" t="n">
        <v>0.2983209073091407</v>
      </c>
      <c r="H873" t="n">
        <v>0.0107108895433705</v>
      </c>
      <c r="I873" t="n">
        <v>0.6473427152050168</v>
      </c>
      <c r="J873" t="n">
        <v>0.2208986894430323</v>
      </c>
      <c r="K873" t="n">
        <v>0.1908105930027165</v>
      </c>
      <c r="L873" t="b">
        <v>0</v>
      </c>
      <c r="M873" t="b">
        <v>0</v>
      </c>
      <c r="N873" t="inlineStr">
        <is>
          <t>ref</t>
        </is>
      </c>
      <c r="O873" t="n">
        <v>-80</v>
      </c>
      <c r="P873" t="n">
        <v>0.04807</v>
      </c>
      <c r="Q873" t="n">
        <v>-80</v>
      </c>
      <c r="R873" t="n">
        <v>0.2935</v>
      </c>
      <c r="S873">
        <f>IMAGE("https://mitra.stanford.edu/kundaje/oak/projects/neuro-variants/variant_position/credible/roussos_2024/variant_figures/roussos_2024.childhood.Astrocyte/rs10861879_count_position.png",4,220,900)</f>
        <v/>
      </c>
      <c r="T873">
        <f>IMAGE("https://mitra.stanford.edu/kundaje/oak/projects/neuro-variants/variant_position/credible/roussos_2024/variant_figures/roussos_2024.childhood.Astrocyte/rs10861879_profile_position.png",4,220,900)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0.2548791259999999</v>
      </c>
      <c r="G874" t="n">
        <v>0.009121976657679399</v>
      </c>
      <c r="H874" t="n">
        <v>0.0280181459747195</v>
      </c>
      <c r="I874" t="n">
        <v>0.039532165347973</v>
      </c>
      <c r="J874" t="n">
        <v>0.0357941578316655</v>
      </c>
      <c r="K874" t="n">
        <v>0.502867075597213</v>
      </c>
      <c r="L874" t="b">
        <v>1</v>
      </c>
      <c r="M874" t="b">
        <v>1</v>
      </c>
      <c r="N874" t="inlineStr">
        <is>
          <t>alt</t>
        </is>
      </c>
      <c r="O874" t="n">
        <v>-90</v>
      </c>
      <c r="P874" t="n">
        <v>0.004646</v>
      </c>
      <c r="Q874" t="n">
        <v>70</v>
      </c>
      <c r="R874" t="n">
        <v>0.0349</v>
      </c>
      <c r="S874">
        <f>IMAGE("https://mitra.stanford.edu/kundaje/oak/projects/neuro-variants/variant_position/credible/roussos_2024/variant_figures/roussos_2024.childhood.Astrocyte/rs4964661_count_position.png",4,220,900)</f>
        <v/>
      </c>
      <c r="T874">
        <f>IMAGE("https://mitra.stanford.edu/kundaje/oak/projects/neuro-variants/variant_position/credible/roussos_2024/variant_figures/roussos_2024.childhood.Astrocyte/rs4964661_profile_position.png",4,220,900)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-0.017846028872</v>
      </c>
      <c r="G875" t="n">
        <v>0.587136985767388</v>
      </c>
      <c r="H875" t="n">
        <v>0.009126639140395401</v>
      </c>
      <c r="I875" t="n">
        <v>0.7685693597372107</v>
      </c>
      <c r="J875" t="n">
        <v>0.0070054116767037</v>
      </c>
      <c r="K875" t="n">
        <v>0.7483471183566348</v>
      </c>
      <c r="L875" t="b">
        <v>0</v>
      </c>
      <c r="M875" t="b">
        <v>0</v>
      </c>
      <c r="N875" t="inlineStr">
        <is>
          <t>ref</t>
        </is>
      </c>
      <c r="O875" t="n">
        <v>-100</v>
      </c>
      <c r="P875" t="n">
        <v>0.004093</v>
      </c>
      <c r="Q875" t="n">
        <v>-5</v>
      </c>
      <c r="R875" t="n">
        <v>0.014435</v>
      </c>
      <c r="S875">
        <f>IMAGE("https://mitra.stanford.edu/kundaje/oak/projects/neuro-variants/variant_position/credible/roussos_2024/variant_figures/roussos_2024.childhood.Astrocyte/rs3764002_count_position.png",4,220,900)</f>
        <v/>
      </c>
      <c r="T875">
        <f>IMAGE("https://mitra.stanford.edu/kundaje/oak/projects/neuro-variants/variant_position/credible/roussos_2024/variant_figures/roussos_2024.childhood.Astrocyte/rs3764002_profile_position.png",4,220,900)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0.198836258</v>
      </c>
      <c r="G876" t="n">
        <v>0.0168955149286691</v>
      </c>
      <c r="H876" t="n">
        <v>0.0224991723658977</v>
      </c>
      <c r="I876" t="n">
        <v>0.0838732512888848</v>
      </c>
      <c r="J876" t="n">
        <v>0.283858090418508</v>
      </c>
      <c r="K876" t="n">
        <v>0.1476549194797848</v>
      </c>
      <c r="L876" t="b">
        <v>1</v>
      </c>
      <c r="M876" t="b">
        <v>0</v>
      </c>
      <c r="N876" t="inlineStr">
        <is>
          <t>alt</t>
        </is>
      </c>
      <c r="O876" t="n">
        <v>-20</v>
      </c>
      <c r="P876" t="n">
        <v>0.04724</v>
      </c>
      <c r="Q876" t="n">
        <v>20</v>
      </c>
      <c r="R876" t="n">
        <v>0.09717000000000001</v>
      </c>
      <c r="S876">
        <f>IMAGE("https://mitra.stanford.edu/kundaje/oak/projects/neuro-variants/variant_position/credible/roussos_2024/variant_figures/roussos_2024.childhood.Astrocyte/rs4964665_count_position.png",4,220,900)</f>
        <v/>
      </c>
      <c r="T876">
        <f>IMAGE("https://mitra.stanford.edu/kundaje/oak/projects/neuro-variants/variant_position/credible/roussos_2024/variant_figures/roussos_2024.childhood.Astrocyte/rs4964665_profile_position.png",4,220,900)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0.0848169672</v>
      </c>
      <c r="G877" t="n">
        <v>0.1215066595372792</v>
      </c>
      <c r="H877" t="n">
        <v>0.0178694063200891</v>
      </c>
      <c r="I877" t="n">
        <v>0.1952402526618923</v>
      </c>
      <c r="J877" t="n">
        <v>0.0015006144428415</v>
      </c>
      <c r="K877" t="n">
        <v>0.8816936444011514</v>
      </c>
      <c r="L877" t="b">
        <v>0</v>
      </c>
      <c r="M877" t="b">
        <v>0</v>
      </c>
      <c r="N877" t="inlineStr">
        <is>
          <t>alt</t>
        </is>
      </c>
      <c r="O877" t="n">
        <v>-80</v>
      </c>
      <c r="P877" t="n">
        <v>0.006676</v>
      </c>
      <c r="Q877" t="n">
        <v>-30</v>
      </c>
      <c r="R877" t="n">
        <v>0.0638</v>
      </c>
      <c r="S877">
        <f>IMAGE("https://mitra.stanford.edu/kundaje/oak/projects/neuro-variants/variant_position/credible/roussos_2024/variant_figures/roussos_2024.childhood.Astrocyte/rs2559882_count_position.png",4,220,900)</f>
        <v/>
      </c>
      <c r="T877">
        <f>IMAGE("https://mitra.stanford.edu/kundaje/oak/projects/neuro-variants/variant_position/credible/roussos_2024/variant_figures/roussos_2024.childhood.Astrocyte/rs2559882_profile_position.png",4,220,900)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-0.0155418516</v>
      </c>
      <c r="G878" t="n">
        <v>0.5067256460639556</v>
      </c>
      <c r="H878" t="n">
        <v>0.0096401711014866</v>
      </c>
      <c r="I878" t="n">
        <v>0.7575269155878671</v>
      </c>
      <c r="J878" t="n">
        <v>0.0973453016112904</v>
      </c>
      <c r="K878" t="n">
        <v>0.3411882221487852</v>
      </c>
      <c r="L878" t="b">
        <v>0</v>
      </c>
      <c r="M878" t="b">
        <v>0</v>
      </c>
      <c r="N878" t="inlineStr">
        <is>
          <t>ref</t>
        </is>
      </c>
      <c r="O878" t="n">
        <v>-5</v>
      </c>
      <c r="P878" t="n">
        <v>0.0007343</v>
      </c>
      <c r="Q878" t="n">
        <v>15</v>
      </c>
      <c r="R878" t="n">
        <v>0.04443</v>
      </c>
      <c r="S878">
        <f>IMAGE("https://mitra.stanford.edu/kundaje/oak/projects/neuro-variants/variant_position/credible/roussos_2024/variant_figures/roussos_2024.childhood.Astrocyte/rs2559875_count_position.png",4,220,900)</f>
        <v/>
      </c>
      <c r="T878">
        <f>IMAGE("https://mitra.stanford.edu/kundaje/oak/projects/neuro-variants/variant_position/credible/roussos_2024/variant_figures/roussos_2024.childhood.Astrocyte/rs2559875_profile_position.png",4,220,900)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0.0021347022</v>
      </c>
      <c r="G879" t="n">
        <v>0.8506392868599321</v>
      </c>
      <c r="H879" t="n">
        <v>0.0117484211484359</v>
      </c>
      <c r="I879" t="n">
        <v>0.5259154488898908</v>
      </c>
      <c r="J879" t="n">
        <v>0.010288292001557</v>
      </c>
      <c r="K879" t="n">
        <v>0.6914031499891128</v>
      </c>
      <c r="L879" t="b">
        <v>0</v>
      </c>
      <c r="M879" t="b">
        <v>0</v>
      </c>
      <c r="N879" t="inlineStr">
        <is>
          <t>alt</t>
        </is>
      </c>
      <c r="O879" t="n">
        <v>25</v>
      </c>
      <c r="P879" t="n">
        <v>0.002808</v>
      </c>
      <c r="Q879" t="n">
        <v>-15</v>
      </c>
      <c r="R879" t="n">
        <v>0.0371</v>
      </c>
      <c r="S879">
        <f>IMAGE("https://mitra.stanford.edu/kundaje/oak/projects/neuro-variants/variant_position/credible/roussos_2024/variant_figures/roussos_2024.childhood.Astrocyte/rs75306978_count_position.png",4,220,900)</f>
        <v/>
      </c>
      <c r="T879">
        <f>IMAGE("https://mitra.stanford.edu/kundaje/oak/projects/neuro-variants/variant_position/credible/roussos_2024/variant_figures/roussos_2024.childhood.Astrocyte/rs75306978_profile_position.png",4,220,900)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0.01861612556</v>
      </c>
      <c r="G880" t="n">
        <v>0.5183530180211373</v>
      </c>
      <c r="H880" t="n">
        <v>0.0129588386030742</v>
      </c>
      <c r="I880" t="n">
        <v>0.4193548645574561</v>
      </c>
      <c r="J880" t="n">
        <v>0.1275354354148061</v>
      </c>
      <c r="K880" t="n">
        <v>0.2812318899488907</v>
      </c>
      <c r="L880" t="b">
        <v>0</v>
      </c>
      <c r="M880" t="b">
        <v>0</v>
      </c>
      <c r="N880" t="inlineStr">
        <is>
          <t>alt</t>
        </is>
      </c>
      <c r="O880" t="n">
        <v>25</v>
      </c>
      <c r="P880" t="n">
        <v>0.001498</v>
      </c>
      <c r="Q880" t="n">
        <v>100</v>
      </c>
      <c r="R880" t="n">
        <v>0.1807</v>
      </c>
      <c r="S880">
        <f>IMAGE("https://mitra.stanford.edu/kundaje/oak/projects/neuro-variants/variant_position/credible/roussos_2024/variant_figures/roussos_2024.childhood.Astrocyte/rs79715421_count_position.png",4,220,900)</f>
        <v/>
      </c>
      <c r="T880">
        <f>IMAGE("https://mitra.stanford.edu/kundaje/oak/projects/neuro-variants/variant_position/credible/roussos_2024/variant_figures/roussos_2024.childhood.Astrocyte/rs79715421_profile_position.png",4,220,900)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0.0135791046</v>
      </c>
      <c r="G881" t="n">
        <v>0.6379176994783757</v>
      </c>
      <c r="H881" t="n">
        <v>0.0071783024516291</v>
      </c>
      <c r="I881" t="n">
        <v>0.9430768669016892</v>
      </c>
      <c r="J881" t="n">
        <v>0.0255928800958683</v>
      </c>
      <c r="K881" t="n">
        <v>0.5699578792141859</v>
      </c>
      <c r="L881" t="b">
        <v>0</v>
      </c>
      <c r="M881" t="b">
        <v>0</v>
      </c>
      <c r="N881" t="inlineStr">
        <is>
          <t>alt</t>
        </is>
      </c>
      <c r="O881" t="n">
        <v>-60</v>
      </c>
      <c r="P881" t="n">
        <v>0.00844</v>
      </c>
      <c r="Q881" t="n">
        <v>65</v>
      </c>
      <c r="R881" t="n">
        <v>0.1033</v>
      </c>
      <c r="S881">
        <f>IMAGE("https://mitra.stanford.edu/kundaje/oak/projects/neuro-variants/variant_position/credible/roussos_2024/variant_figures/roussos_2024.childhood.Astrocyte/rs67917264_count_position.png",4,220,900)</f>
        <v/>
      </c>
      <c r="T881">
        <f>IMAGE("https://mitra.stanford.edu/kundaje/oak/projects/neuro-variants/variant_position/credible/roussos_2024/variant_figures/roussos_2024.childhood.Astrocyte/rs67917264_profile_position.png",4,220,900)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-0.0792127052</v>
      </c>
      <c r="G882" t="n">
        <v>0.1057471121632624</v>
      </c>
      <c r="H882" t="n">
        <v>0.0102697570969297</v>
      </c>
      <c r="I882" t="n">
        <v>0.6855259174598356</v>
      </c>
      <c r="J882" t="n">
        <v>0.5505934525581431</v>
      </c>
      <c r="K882" t="n">
        <v>0.0432473545917209</v>
      </c>
      <c r="L882" t="b">
        <v>0</v>
      </c>
      <c r="M882" t="b">
        <v>0</v>
      </c>
      <c r="N882" t="inlineStr">
        <is>
          <t>ref</t>
        </is>
      </c>
      <c r="O882" t="n">
        <v>-95</v>
      </c>
      <c r="P882" t="n">
        <v>0.2917</v>
      </c>
      <c r="Q882" t="n">
        <v>-100</v>
      </c>
      <c r="R882" t="n">
        <v>0.1973</v>
      </c>
      <c r="S882">
        <f>IMAGE("https://mitra.stanford.edu/kundaje/oak/projects/neuro-variants/variant_position/credible/roussos_2024/variant_figures/roussos_2024.childhood.Astrocyte/rs3759384_count_position.png",4,220,900)</f>
        <v/>
      </c>
      <c r="T882">
        <f>IMAGE("https://mitra.stanford.edu/kundaje/oak/projects/neuro-variants/variant_position/credible/roussos_2024/variant_figures/roussos_2024.childhood.Astrocyte/rs3759384_profile_position.png",4,220,900)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0.0003642065</v>
      </c>
      <c r="G883" t="n">
        <v>0.3163040150132792</v>
      </c>
      <c r="H883" t="n">
        <v>0.0113637658210571</v>
      </c>
      <c r="I883" t="n">
        <v>0.5552191494705556</v>
      </c>
      <c r="J883" t="n">
        <v>0.0081915535099569</v>
      </c>
      <c r="K883" t="n">
        <v>0.711799202720939</v>
      </c>
      <c r="L883" t="b">
        <v>0</v>
      </c>
      <c r="M883" t="b">
        <v>0</v>
      </c>
      <c r="N883" t="inlineStr">
        <is>
          <t>alt</t>
        </is>
      </c>
      <c r="O883" t="n">
        <v>-40</v>
      </c>
      <c r="P883" t="n">
        <v>0.00335</v>
      </c>
      <c r="Q883" t="n">
        <v>-100</v>
      </c>
      <c r="R883" t="n">
        <v>0.1306</v>
      </c>
      <c r="S883">
        <f>IMAGE("https://mitra.stanford.edu/kundaje/oak/projects/neuro-variants/variant_position/credible/roussos_2024/variant_figures/roussos_2024.childhood.Astrocyte/rs11065647_count_position.png",4,220,900)</f>
        <v/>
      </c>
      <c r="T883">
        <f>IMAGE("https://mitra.stanford.edu/kundaje/oak/projects/neuro-variants/variant_position/credible/roussos_2024/variant_figures/roussos_2024.childhood.Astrocyte/rs11065647_profile_position.png",4,220,900)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0.0326033901999999</v>
      </c>
      <c r="G884" t="n">
        <v>0.3526253399777544</v>
      </c>
      <c r="H884" t="n">
        <v>0.0111184486926798</v>
      </c>
      <c r="I884" t="n">
        <v>0.6039366338874563</v>
      </c>
      <c r="J884" t="n">
        <v>0.0291207742743085</v>
      </c>
      <c r="K884" t="n">
        <v>0.5395822092064666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0.0203</v>
      </c>
      <c r="Q884" t="n">
        <v>25</v>
      </c>
      <c r="R884" t="n">
        <v>0.0504</v>
      </c>
      <c r="S884">
        <f>IMAGE("https://mitra.stanford.edu/kundaje/oak/projects/neuro-variants/variant_position/credible/roussos_2024/variant_figures/roussos_2024.childhood.Astrocyte/rs184629901_count_position.png",4,220,900)</f>
        <v/>
      </c>
      <c r="T884">
        <f>IMAGE("https://mitra.stanford.edu/kundaje/oak/projects/neuro-variants/variant_position/credible/roussos_2024/variant_figures/roussos_2024.childhood.Astrocyte/rs184629901_profile_position.png",4,220,900)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-0.0366741577</v>
      </c>
      <c r="G885" t="n">
        <v>0.1715173198594267</v>
      </c>
      <c r="H885" t="n">
        <v>0.0320703459446696</v>
      </c>
      <c r="I885" t="n">
        <v>0.0231303508645737</v>
      </c>
      <c r="J885" t="n">
        <v>0.1113278834924778</v>
      </c>
      <c r="K885" t="n">
        <v>0.3062468472404357</v>
      </c>
      <c r="L885" t="b">
        <v>0</v>
      </c>
      <c r="M885" t="b">
        <v>0</v>
      </c>
      <c r="N885" t="inlineStr">
        <is>
          <t>ref</t>
        </is>
      </c>
      <c r="O885" t="n">
        <v>-70</v>
      </c>
      <c r="P885" t="n">
        <v>0.007324</v>
      </c>
      <c r="Q885" t="n">
        <v>85</v>
      </c>
      <c r="R885" t="n">
        <v>0.1338</v>
      </c>
      <c r="S885">
        <f>IMAGE("https://mitra.stanford.edu/kundaje/oak/projects/neuro-variants/variant_position/credible/roussos_2024/variant_figures/roussos_2024.childhood.Astrocyte/rs4766497_count_position.png",4,220,900)</f>
        <v/>
      </c>
      <c r="T885">
        <f>IMAGE("https://mitra.stanford.edu/kundaje/oak/projects/neuro-variants/variant_position/credible/roussos_2024/variant_figures/roussos_2024.childhood.Astrocyte/rs4766497_profile_position.png",4,220,900)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0.0438434036</v>
      </c>
      <c r="G886" t="n">
        <v>0.2686627142379643</v>
      </c>
      <c r="H886" t="n">
        <v>0.0131327577546366</v>
      </c>
      <c r="I886" t="n">
        <v>0.4218473585027402</v>
      </c>
      <c r="J886" t="n">
        <v>0.050138535870486</v>
      </c>
      <c r="K886" t="n">
        <v>0.4403845350597098</v>
      </c>
      <c r="L886" t="b">
        <v>0</v>
      </c>
      <c r="M886" t="b">
        <v>0</v>
      </c>
      <c r="N886" t="inlineStr">
        <is>
          <t>alt</t>
        </is>
      </c>
      <c r="O886" t="n">
        <v>-15</v>
      </c>
      <c r="P886" t="n">
        <v>0.03595</v>
      </c>
      <c r="Q886" t="n">
        <v>15</v>
      </c>
      <c r="R886" t="n">
        <v>0.01007</v>
      </c>
      <c r="S886">
        <f>IMAGE("https://mitra.stanford.edu/kundaje/oak/projects/neuro-variants/variant_position/credible/roussos_2024/variant_figures/roussos_2024.childhood.Astrocyte/rs12311093_count_position.png",4,220,900)</f>
        <v/>
      </c>
      <c r="T886">
        <f>IMAGE("https://mitra.stanford.edu/kundaje/oak/projects/neuro-variants/variant_position/credible/roussos_2024/variant_figures/roussos_2024.childhood.Astrocyte/rs12311093_profile_position.png",4,220,900)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-0.0309755002</v>
      </c>
      <c r="G887" t="n">
        <v>0.3766705571536858</v>
      </c>
      <c r="H887" t="n">
        <v>0.0535828988026627</v>
      </c>
      <c r="I887" t="n">
        <v>0.0031471395961093</v>
      </c>
      <c r="J887" t="n">
        <v>0.0271652431438101</v>
      </c>
      <c r="K887" t="n">
        <v>0.5540165967722326</v>
      </c>
      <c r="L887" t="b">
        <v>1</v>
      </c>
      <c r="M887" t="b">
        <v>0</v>
      </c>
      <c r="N887" t="inlineStr">
        <is>
          <t>ref</t>
        </is>
      </c>
      <c r="O887" t="n">
        <v>-40</v>
      </c>
      <c r="P887" t="n">
        <v>0.00537</v>
      </c>
      <c r="Q887" t="n">
        <v>-25</v>
      </c>
      <c r="R887" t="n">
        <v>0.0678</v>
      </c>
      <c r="S887">
        <f>IMAGE("https://mitra.stanford.edu/kundaje/oak/projects/neuro-variants/variant_position/credible/roussos_2024/variant_figures/roussos_2024.childhood.Astrocyte/rs12228118_count_position.png",4,220,900)</f>
        <v/>
      </c>
      <c r="T887">
        <f>IMAGE("https://mitra.stanford.edu/kundaje/oak/projects/neuro-variants/variant_position/credible/roussos_2024/variant_figures/roussos_2024.childhood.Astrocyte/rs12228118_profile_position.png",4,220,900)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-0.13413699</v>
      </c>
      <c r="G888" t="n">
        <v>0.041544793761674</v>
      </c>
      <c r="H888" t="n">
        <v>0.0176510279330953</v>
      </c>
      <c r="I888" t="n">
        <v>0.1862682651455672</v>
      </c>
      <c r="J888" t="n">
        <v>0.0542053078702112</v>
      </c>
      <c r="K888" t="n">
        <v>0.4416382050174333</v>
      </c>
      <c r="L888" t="b">
        <v>0</v>
      </c>
      <c r="M888" t="b">
        <v>0</v>
      </c>
      <c r="N888" t="inlineStr">
        <is>
          <t>ref</t>
        </is>
      </c>
      <c r="O888" t="n">
        <v>-95</v>
      </c>
      <c r="P888" t="n">
        <v>0.1538</v>
      </c>
      <c r="Q888" t="n">
        <v>-80</v>
      </c>
      <c r="R888" t="n">
        <v>0.213</v>
      </c>
      <c r="S888">
        <f>IMAGE("https://mitra.stanford.edu/kundaje/oak/projects/neuro-variants/variant_position/credible/roussos_2024/variant_figures/roussos_2024.childhood.Astrocyte/rs78197988_count_position.png",4,220,900)</f>
        <v/>
      </c>
      <c r="T888">
        <f>IMAGE("https://mitra.stanford.edu/kundaje/oak/projects/neuro-variants/variant_position/credible/roussos_2024/variant_figures/roussos_2024.childhood.Astrocyte/rs78197988_profile_position.png",4,220,900)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0.0268072727999999</v>
      </c>
      <c r="G889" t="n">
        <v>0.4229834692612899</v>
      </c>
      <c r="H889" t="n">
        <v>0.0563021005521326</v>
      </c>
      <c r="I889" t="n">
        <v>0.0025784771859578</v>
      </c>
      <c r="J889" t="n">
        <v>0.0363185332753237</v>
      </c>
      <c r="K889" t="n">
        <v>0.5019558191972805</v>
      </c>
      <c r="L889" t="b">
        <v>1</v>
      </c>
      <c r="M889" t="b">
        <v>0</v>
      </c>
      <c r="N889" t="inlineStr">
        <is>
          <t>alt</t>
        </is>
      </c>
      <c r="O889" t="n">
        <v>100</v>
      </c>
      <c r="P889" t="n">
        <v>0.09424</v>
      </c>
      <c r="Q889" t="n">
        <v>100</v>
      </c>
      <c r="R889" t="n">
        <v>0.07335999999999999</v>
      </c>
      <c r="S889">
        <f>IMAGE("https://mitra.stanford.edu/kundaje/oak/projects/neuro-variants/variant_position/credible/roussos_2024/variant_figures/roussos_2024.childhood.Astrocyte/rs2243616_count_position.png",4,220,900)</f>
        <v/>
      </c>
      <c r="T889">
        <f>IMAGE("https://mitra.stanford.edu/kundaje/oak/projects/neuro-variants/variant_position/credible/roussos_2024/variant_figures/roussos_2024.childhood.Astrocyte/rs2243616_profile_position.png",4,220,900)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-0.0122416711599999</v>
      </c>
      <c r="G890" t="n">
        <v>0.6918227228498883</v>
      </c>
      <c r="H890" t="n">
        <v>0.0307237290828865</v>
      </c>
      <c r="I890" t="n">
        <v>0.0273599281926866</v>
      </c>
      <c r="J890" t="n">
        <v>0.4033210444765023</v>
      </c>
      <c r="K890" t="n">
        <v>0.08574617189135821</v>
      </c>
      <c r="L890" t="b">
        <v>0</v>
      </c>
      <c r="M890" t="b">
        <v>0</v>
      </c>
      <c r="N890" t="inlineStr">
        <is>
          <t>ref</t>
        </is>
      </c>
      <c r="O890" t="n">
        <v>-65</v>
      </c>
      <c r="P890" t="n">
        <v>0.10547</v>
      </c>
      <c r="Q890" t="n">
        <v>100</v>
      </c>
      <c r="R890" t="n">
        <v>0.433</v>
      </c>
      <c r="S890">
        <f>IMAGE("https://mitra.stanford.edu/kundaje/oak/projects/neuro-variants/variant_position/credible/roussos_2024/variant_figures/roussos_2024.childhood.Astrocyte/rs1169314_count_position.png",4,220,900)</f>
        <v/>
      </c>
      <c r="T890">
        <f>IMAGE("https://mitra.stanford.edu/kundaje/oak/projects/neuro-variants/variant_position/credible/roussos_2024/variant_figures/roussos_2024.childhood.Astrocyte/rs1169314_profile_position.png",4,220,900)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-0.09421008993999989</v>
      </c>
      <c r="G891" t="n">
        <v>0.1718884082359385</v>
      </c>
      <c r="H891" t="n">
        <v>0.0189811472600448</v>
      </c>
      <c r="I891" t="n">
        <v>0.1623054575775523</v>
      </c>
      <c r="J891" t="n">
        <v>0.0397991039057192</v>
      </c>
      <c r="K891" t="n">
        <v>0.4962828540117716</v>
      </c>
      <c r="L891" t="b">
        <v>0</v>
      </c>
      <c r="M891" t="b">
        <v>0</v>
      </c>
      <c r="N891" t="inlineStr">
        <is>
          <t>ref</t>
        </is>
      </c>
      <c r="O891" t="n">
        <v>85</v>
      </c>
      <c r="P891" t="n">
        <v>0.01353</v>
      </c>
      <c r="Q891" t="n">
        <v>-5</v>
      </c>
      <c r="R891" t="n">
        <v>0.00464</v>
      </c>
      <c r="S891">
        <f>IMAGE("https://mitra.stanford.edu/kundaje/oak/projects/neuro-variants/variant_position/credible/roussos_2024/variant_figures/roussos_2024.childhood.Astrocyte/rs2264750_count_position.png",4,220,900)</f>
        <v/>
      </c>
      <c r="T891">
        <f>IMAGE("https://mitra.stanford.edu/kundaje/oak/projects/neuro-variants/variant_position/credible/roussos_2024/variant_figures/roussos_2024.childhood.Astrocyte/rs2264750_profile_position.png",4,220,900)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0.153625442</v>
      </c>
      <c r="G892" t="n">
        <v>0.0308239428413263</v>
      </c>
      <c r="H892" t="n">
        <v>0.0184546162723795</v>
      </c>
      <c r="I892" t="n">
        <v>0.1651519246195602</v>
      </c>
      <c r="J892" t="n">
        <v>0.128981093479273</v>
      </c>
      <c r="K892" t="n">
        <v>0.3017325449065925</v>
      </c>
      <c r="L892" t="b">
        <v>0</v>
      </c>
      <c r="M892" t="b">
        <v>0</v>
      </c>
      <c r="N892" t="inlineStr">
        <is>
          <t>alt</t>
        </is>
      </c>
      <c r="O892" t="n">
        <v>100</v>
      </c>
      <c r="P892" t="n">
        <v>0.00656</v>
      </c>
      <c r="Q892" t="n">
        <v>100</v>
      </c>
      <c r="R892" t="n">
        <v>0.1422</v>
      </c>
      <c r="S892">
        <f>IMAGE("https://mitra.stanford.edu/kundaje/oak/projects/neuro-variants/variant_position/credible/roussos_2024/variant_figures/roussos_2024.childhood.Astrocyte/rs2686345_count_position.png",4,220,900)</f>
        <v/>
      </c>
      <c r="T892">
        <f>IMAGE("https://mitra.stanford.edu/kundaje/oak/projects/neuro-variants/variant_position/credible/roussos_2024/variant_figures/roussos_2024.childhood.Astrocyte/rs2686345_profile_position.png",4,220,900)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-0.1173404107999999</v>
      </c>
      <c r="G893" t="n">
        <v>0.0586449645162901</v>
      </c>
      <c r="H893" t="n">
        <v>0.0135124909945652</v>
      </c>
      <c r="I893" t="n">
        <v>0.3944582167764494</v>
      </c>
      <c r="J893" t="n">
        <v>0.0243533084503064</v>
      </c>
      <c r="K893" t="n">
        <v>0.5833561599357082</v>
      </c>
      <c r="L893" t="b">
        <v>0</v>
      </c>
      <c r="M893" t="b">
        <v>0</v>
      </c>
      <c r="N893" t="inlineStr">
        <is>
          <t>ref</t>
        </is>
      </c>
      <c r="O893" t="n">
        <v>65</v>
      </c>
      <c r="P893" t="n">
        <v>0.04074</v>
      </c>
      <c r="Q893" t="n">
        <v>55</v>
      </c>
      <c r="R893" t="n">
        <v>0.1907</v>
      </c>
      <c r="S893">
        <f>IMAGE("https://mitra.stanford.edu/kundaje/oak/projects/neuro-variants/variant_position/credible/roussos_2024/variant_figures/roussos_2024.childhood.Astrocyte/rs76170072_count_position.png",4,220,900)</f>
        <v/>
      </c>
      <c r="T893">
        <f>IMAGE("https://mitra.stanford.edu/kundaje/oak/projects/neuro-variants/variant_position/credible/roussos_2024/variant_figures/roussos_2024.childhood.Astrocyte/rs76170072_profile_position.png",4,220,900)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0.0667162266</v>
      </c>
      <c r="G894" t="n">
        <v>0.1392931046487441</v>
      </c>
      <c r="H894" t="n">
        <v>0.0144720170458189</v>
      </c>
      <c r="I894" t="n">
        <v>0.3274954987314046</v>
      </c>
      <c r="J894" t="n">
        <v>0.0013700930442016</v>
      </c>
      <c r="K894" t="n">
        <v>0.8936944256843599</v>
      </c>
      <c r="L894" t="b">
        <v>0</v>
      </c>
      <c r="M894" t="b">
        <v>0</v>
      </c>
      <c r="N894" t="inlineStr">
        <is>
          <t>alt</t>
        </is>
      </c>
      <c r="O894" t="n">
        <v>50</v>
      </c>
      <c r="P894" t="n">
        <v>0.006836</v>
      </c>
      <c r="Q894" t="n">
        <v>25</v>
      </c>
      <c r="R894" t="n">
        <v>0.012085</v>
      </c>
      <c r="S894">
        <f>IMAGE("https://mitra.stanford.edu/kundaje/oak/projects/neuro-variants/variant_position/credible/roussos_2024/variant_figures/roussos_2024.childhood.Astrocyte/rs61697335_count_position.png",4,220,900)</f>
        <v/>
      </c>
      <c r="T894">
        <f>IMAGE("https://mitra.stanford.edu/kundaje/oak/projects/neuro-variants/variant_position/credible/roussos_2024/variant_figures/roussos_2024.childhood.Astrocyte/rs61697335_profile_position.png",4,220,900)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-0.0004505109599999</v>
      </c>
      <c r="G895" t="n">
        <v>0.7409315949477037</v>
      </c>
      <c r="H895" t="n">
        <v>0.0300933101751286</v>
      </c>
      <c r="I895" t="n">
        <v>0.0299542467772079</v>
      </c>
      <c r="J895" t="n">
        <v>0.1051681894163174</v>
      </c>
      <c r="K895" t="n">
        <v>0.312355427882932</v>
      </c>
      <c r="L895" t="b">
        <v>0</v>
      </c>
      <c r="M895" t="b">
        <v>0</v>
      </c>
      <c r="N895" t="inlineStr">
        <is>
          <t>ref</t>
        </is>
      </c>
      <c r="O895" t="n">
        <v>-95</v>
      </c>
      <c r="P895" t="n">
        <v>0.009889999999999999</v>
      </c>
      <c r="Q895" t="n">
        <v>30</v>
      </c>
      <c r="R895" t="n">
        <v>0.1151</v>
      </c>
      <c r="S895">
        <f>IMAGE("https://mitra.stanford.edu/kundaje/oak/projects/neuro-variants/variant_position/credible/roussos_2024/variant_figures/roussos_2024.childhood.Astrocyte/rs11830307_count_position.png",4,220,900)</f>
        <v/>
      </c>
      <c r="T895">
        <f>IMAGE("https://mitra.stanford.edu/kundaje/oak/projects/neuro-variants/variant_position/credible/roussos_2024/variant_figures/roussos_2024.childhood.Astrocyte/rs11830307_profile_position.png",4,220,900)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-0.136009266</v>
      </c>
      <c r="G896" t="n">
        <v>0.0397901547665853</v>
      </c>
      <c r="H896" t="n">
        <v>0.033839647097723</v>
      </c>
      <c r="I896" t="n">
        <v>0.0191036892891404</v>
      </c>
      <c r="J896" t="n">
        <v>0.0202430293177012</v>
      </c>
      <c r="K896" t="n">
        <v>0.5857228066174596</v>
      </c>
      <c r="L896" t="b">
        <v>1</v>
      </c>
      <c r="M896" t="b">
        <v>0</v>
      </c>
      <c r="N896" t="inlineStr">
        <is>
          <t>ref</t>
        </is>
      </c>
      <c r="O896" t="n">
        <v>-5</v>
      </c>
      <c r="P896" t="n">
        <v>0.001831</v>
      </c>
      <c r="Q896" t="n">
        <v>100</v>
      </c>
      <c r="R896" t="n">
        <v>0.1519</v>
      </c>
      <c r="S896">
        <f>IMAGE("https://mitra.stanford.edu/kundaje/oak/projects/neuro-variants/variant_position/credible/roussos_2024/variant_figures/roussos_2024.childhood.Astrocyte/rs59199848_count_position.png",4,220,900)</f>
        <v/>
      </c>
      <c r="T896">
        <f>IMAGE("https://mitra.stanford.edu/kundaje/oak/projects/neuro-variants/variant_position/credible/roussos_2024/variant_figures/roussos_2024.childhood.Astrocyte/rs59199848_profile_position.png",4,220,900)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0.0058817862799999</v>
      </c>
      <c r="G897" t="n">
        <v>0.7413459760040156</v>
      </c>
      <c r="H897" t="n">
        <v>0.0074744178326254</v>
      </c>
      <c r="I897" t="n">
        <v>0.9123041097722232</v>
      </c>
      <c r="J897" t="n">
        <v>0.0691137520704051</v>
      </c>
      <c r="K897" t="n">
        <v>0.3957031968067666</v>
      </c>
      <c r="L897" t="b">
        <v>0</v>
      </c>
      <c r="M897" t="b">
        <v>0</v>
      </c>
      <c r="N897" t="inlineStr">
        <is>
          <t>alt</t>
        </is>
      </c>
      <c r="O897" t="n">
        <v>-80</v>
      </c>
      <c r="P897" t="n">
        <v>0.00692</v>
      </c>
      <c r="Q897" t="n">
        <v>90</v>
      </c>
      <c r="R897" t="n">
        <v>0.2742</v>
      </c>
      <c r="S897">
        <f>IMAGE("https://mitra.stanford.edu/kundaje/oak/projects/neuro-variants/variant_position/credible/roussos_2024/variant_figures/roussos_2024.childhood.Astrocyte/rs3751135_count_position.png",4,220,900)</f>
        <v/>
      </c>
      <c r="T897">
        <f>IMAGE("https://mitra.stanford.edu/kundaje/oak/projects/neuro-variants/variant_position/credible/roussos_2024/variant_figures/roussos_2024.childhood.Astrocyte/rs3751135_profile_position.png",4,220,900)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0.0613288365999999</v>
      </c>
      <c r="G898" t="n">
        <v>0.1610937480788828</v>
      </c>
      <c r="H898" t="n">
        <v>0.0133817266408364</v>
      </c>
      <c r="I898" t="n">
        <v>0.4010900114733528</v>
      </c>
      <c r="J898" t="n">
        <v>0.1167174249883598</v>
      </c>
      <c r="K898" t="n">
        <v>0.2993628641783071</v>
      </c>
      <c r="L898" t="b">
        <v>0</v>
      </c>
      <c r="M898" t="b">
        <v>0</v>
      </c>
      <c r="N898" t="inlineStr">
        <is>
          <t>alt</t>
        </is>
      </c>
      <c r="O898" t="n">
        <v>60</v>
      </c>
      <c r="P898" t="n">
        <v>0.0007515</v>
      </c>
      <c r="Q898" t="n">
        <v>90</v>
      </c>
      <c r="R898" t="n">
        <v>0.1078</v>
      </c>
      <c r="S898">
        <f>IMAGE("https://mitra.stanford.edu/kundaje/oak/projects/neuro-variants/variant_position/credible/roussos_2024/variant_figures/roussos_2024.childhood.Astrocyte/rs79741351_count_position.png",4,220,900)</f>
        <v/>
      </c>
      <c r="T898">
        <f>IMAGE("https://mitra.stanford.edu/kundaje/oak/projects/neuro-variants/variant_position/credible/roussos_2024/variant_figures/roussos_2024.childhood.Astrocyte/rs79741351_profile_position.png",4,220,900)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-0.00515717972</v>
      </c>
      <c r="G899" t="n">
        <v>0.7657024689829776</v>
      </c>
      <c r="H899" t="n">
        <v>0.0163984091363277</v>
      </c>
      <c r="I899" t="n">
        <v>0.237005513375548</v>
      </c>
      <c r="J899" t="n">
        <v>0.1145962614397044</v>
      </c>
      <c r="K899" t="n">
        <v>0.2976635525756912</v>
      </c>
      <c r="L899" t="b">
        <v>0</v>
      </c>
      <c r="M899" t="b">
        <v>0</v>
      </c>
      <c r="N899" t="inlineStr">
        <is>
          <t>ref</t>
        </is>
      </c>
      <c r="O899" t="n">
        <v>55</v>
      </c>
      <c r="P899" t="n">
        <v>0.00304</v>
      </c>
      <c r="Q899" t="n">
        <v>-55</v>
      </c>
      <c r="R899" t="n">
        <v>0.0516</v>
      </c>
      <c r="S899">
        <f>IMAGE("https://mitra.stanford.edu/kundaje/oak/projects/neuro-variants/variant_position/credible/roussos_2024/variant_figures/roussos_2024.childhood.Astrocyte/rs13754_count_position.png",4,220,900)</f>
        <v/>
      </c>
      <c r="T899">
        <f>IMAGE("https://mitra.stanford.edu/kundaje/oak/projects/neuro-variants/variant_position/credible/roussos_2024/variant_figures/roussos_2024.childhood.Astrocyte/rs13754_profile_position.png",4,220,900)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-0.0596509084</v>
      </c>
      <c r="G900" t="n">
        <v>0.1783215812162583</v>
      </c>
      <c r="H900" t="n">
        <v>0.0141103785614759</v>
      </c>
      <c r="I900" t="n">
        <v>0.3471342175465706</v>
      </c>
      <c r="J900" t="n">
        <v>0.0568806149008113</v>
      </c>
      <c r="K900" t="n">
        <v>0.4270200678336102</v>
      </c>
      <c r="L900" t="b">
        <v>0</v>
      </c>
      <c r="M900" t="b">
        <v>0</v>
      </c>
      <c r="N900" t="inlineStr">
        <is>
          <t>ref</t>
        </is>
      </c>
      <c r="O900" t="n">
        <v>40</v>
      </c>
      <c r="P900" t="n">
        <v>0.003975</v>
      </c>
      <c r="Q900" t="n">
        <v>-80</v>
      </c>
      <c r="R900" t="n">
        <v>0.1577</v>
      </c>
      <c r="S900">
        <f>IMAGE("https://mitra.stanford.edu/kundaje/oak/projects/neuro-variants/variant_position/credible/roussos_2024/variant_figures/roussos_2024.childhood.Astrocyte/rs111782135_count_position.png",4,220,900)</f>
        <v/>
      </c>
      <c r="T900">
        <f>IMAGE("https://mitra.stanford.edu/kundaje/oak/projects/neuro-variants/variant_position/credible/roussos_2024/variant_figures/roussos_2024.childhood.Astrocyte/rs111782135_profile_position.png",4,220,900)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-0.0532327</v>
      </c>
      <c r="G901" t="n">
        <v>0.2107615423325863</v>
      </c>
      <c r="H901" t="n">
        <v>0.0189626914150569</v>
      </c>
      <c r="I901" t="n">
        <v>0.1527643858988131</v>
      </c>
      <c r="J901" t="n">
        <v>0.0065275964980573</v>
      </c>
      <c r="K901" t="n">
        <v>0.7449125592302569</v>
      </c>
      <c r="L901" t="b">
        <v>0</v>
      </c>
      <c r="M901" t="b">
        <v>0</v>
      </c>
      <c r="N901" t="inlineStr">
        <is>
          <t>ref</t>
        </is>
      </c>
      <c r="O901" t="n">
        <v>95</v>
      </c>
      <c r="P901" t="n">
        <v>0.004616</v>
      </c>
      <c r="Q901" t="n">
        <v>-60</v>
      </c>
      <c r="R901" t="n">
        <v>0.07184</v>
      </c>
      <c r="S901">
        <f>IMAGE("https://mitra.stanford.edu/kundaje/oak/projects/neuro-variants/variant_position/credible/roussos_2024/variant_figures/roussos_2024.childhood.Astrocyte/rs74543852_count_position.png",4,220,900)</f>
        <v/>
      </c>
      <c r="T901">
        <f>IMAGE("https://mitra.stanford.edu/kundaje/oak/projects/neuro-variants/variant_position/credible/roussos_2024/variant_figures/roussos_2024.childhood.Astrocyte/rs74543852_profile_position.png",4,220,900)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0.040482435</v>
      </c>
      <c r="G902" t="n">
        <v>0.3102614773856622</v>
      </c>
      <c r="H902" t="n">
        <v>0.013670816517525</v>
      </c>
      <c r="I902" t="n">
        <v>0.3829489675239694</v>
      </c>
      <c r="J902" t="n">
        <v>0.2391121491760359</v>
      </c>
      <c r="K902" t="n">
        <v>0.1722322071057658</v>
      </c>
      <c r="L902" t="b">
        <v>0</v>
      </c>
      <c r="M902" t="b">
        <v>0</v>
      </c>
      <c r="N902" t="inlineStr">
        <is>
          <t>alt</t>
        </is>
      </c>
      <c r="O902" t="n">
        <v>45</v>
      </c>
      <c r="P902" t="n">
        <v>0.03065</v>
      </c>
      <c r="Q902" t="n">
        <v>-15</v>
      </c>
      <c r="R902" t="n">
        <v>0.011475</v>
      </c>
      <c r="S902">
        <f>IMAGE("https://mitra.stanford.edu/kundaje/oak/projects/neuro-variants/variant_position/credible/roussos_2024/variant_figures/roussos_2024.childhood.Astrocyte/rs34974633_count_position.png",4,220,900)</f>
        <v/>
      </c>
      <c r="T902">
        <f>IMAGE("https://mitra.stanford.edu/kundaje/oak/projects/neuro-variants/variant_position/credible/roussos_2024/variant_figures/roussos_2024.childhood.Astrocyte/rs34974633_profile_position.png",4,220,900)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0.0060607320352</v>
      </c>
      <c r="G903" t="n">
        <v>0.7982387555860663</v>
      </c>
      <c r="H903" t="n">
        <v>0.0309046527256411</v>
      </c>
      <c r="I903" t="n">
        <v>0.0265052752042063</v>
      </c>
      <c r="J903" t="n">
        <v>0.024740292948028</v>
      </c>
      <c r="K903" t="n">
        <v>0.5624332225639632</v>
      </c>
      <c r="L903" t="b">
        <v>0</v>
      </c>
      <c r="M903" t="b">
        <v>0</v>
      </c>
      <c r="N903" t="inlineStr">
        <is>
          <t>alt</t>
        </is>
      </c>
      <c r="O903" t="n">
        <v>100</v>
      </c>
      <c r="P903" t="n">
        <v>0.013016</v>
      </c>
      <c r="Q903" t="n">
        <v>50</v>
      </c>
      <c r="R903" t="n">
        <v>0.07199999999999999</v>
      </c>
      <c r="S903">
        <f>IMAGE("https://mitra.stanford.edu/kundaje/oak/projects/neuro-variants/variant_position/credible/roussos_2024/variant_figures/roussos_2024.childhood.Astrocyte/rs61952902_count_position.png",4,220,900)</f>
        <v/>
      </c>
      <c r="T903">
        <f>IMAGE("https://mitra.stanford.edu/kundaje/oak/projects/neuro-variants/variant_position/credible/roussos_2024/variant_figures/roussos_2024.childhood.Astrocyte/rs61952902_profile_position.png",4,220,900)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-0.304526342</v>
      </c>
      <c r="G904" t="n">
        <v>0.0053762469524632</v>
      </c>
      <c r="H904" t="n">
        <v>0.0329869896954601</v>
      </c>
      <c r="I904" t="n">
        <v>0.0212204932781552</v>
      </c>
      <c r="J904" t="n">
        <v>0.7251875768053553</v>
      </c>
      <c r="K904" t="n">
        <v>0.0153129620026219</v>
      </c>
      <c r="L904" t="b">
        <v>1</v>
      </c>
      <c r="M904" t="b">
        <v>1</v>
      </c>
      <c r="N904" t="inlineStr">
        <is>
          <t>ref</t>
        </is>
      </c>
      <c r="O904" t="n">
        <v>10</v>
      </c>
      <c r="P904" t="n">
        <v>0.00412</v>
      </c>
      <c r="Q904" t="n">
        <v>10</v>
      </c>
      <c r="R904" t="n">
        <v>0.05664</v>
      </c>
      <c r="S904">
        <f>IMAGE("https://mitra.stanford.edu/kundaje/oak/projects/neuro-variants/variant_position/credible/roussos_2024/variant_figures/roussos_2024.childhood.Astrocyte/rs36167334_count_position.png",4,220,900)</f>
        <v/>
      </c>
      <c r="T904">
        <f>IMAGE("https://mitra.stanford.edu/kundaje/oak/projects/neuro-variants/variant_position/credible/roussos_2024/variant_figures/roussos_2024.childhood.Astrocyte/rs36167334_profile_position.png",4,220,900)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0.01104316932</v>
      </c>
      <c r="G905" t="n">
        <v>0.6324199482958752</v>
      </c>
      <c r="H905" t="n">
        <v>0.0641761143849421</v>
      </c>
      <c r="I905" t="n">
        <v>0.0015995774042759</v>
      </c>
      <c r="J905" t="n">
        <v>0.0372894292932761</v>
      </c>
      <c r="K905" t="n">
        <v>0.4904485643395999</v>
      </c>
      <c r="L905" t="b">
        <v>1</v>
      </c>
      <c r="M905" t="b">
        <v>0</v>
      </c>
      <c r="N905" t="inlineStr">
        <is>
          <t>alt</t>
        </is>
      </c>
      <c r="O905" t="n">
        <v>-80</v>
      </c>
      <c r="P905" t="n">
        <v>0.01135</v>
      </c>
      <c r="Q905" t="n">
        <v>-80</v>
      </c>
      <c r="R905" t="n">
        <v>0.1665</v>
      </c>
      <c r="S905">
        <f>IMAGE("https://mitra.stanford.edu/kundaje/oak/projects/neuro-variants/variant_position/credible/roussos_2024/variant_figures/roussos_2024.childhood.Astrocyte/rs146055085_count_position.png",4,220,900)</f>
        <v/>
      </c>
      <c r="T905">
        <f>IMAGE("https://mitra.stanford.edu/kundaje/oak/projects/neuro-variants/variant_position/credible/roussos_2024/variant_figures/roussos_2024.childhood.Astrocyte/rs146055085_profile_position.png",4,220,900)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0.1190811599999999</v>
      </c>
      <c r="G906" t="n">
        <v>0.0509319843448767</v>
      </c>
      <c r="H906" t="n">
        <v>0.0206840493179722</v>
      </c>
      <c r="I906" t="n">
        <v>0.1154524077459629</v>
      </c>
      <c r="J906" t="n">
        <v>0.4281651439170158</v>
      </c>
      <c r="K906" t="n">
        <v>0.0769972605522793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0.05643</v>
      </c>
      <c r="Q906" t="n">
        <v>100</v>
      </c>
      <c r="R906" t="n">
        <v>0.2498</v>
      </c>
      <c r="S906">
        <f>IMAGE("https://mitra.stanford.edu/kundaje/oak/projects/neuro-variants/variant_position/credible/roussos_2024/variant_figures/roussos_2024.childhood.Astrocyte/rs373281699_count_position.png",4,220,900)</f>
        <v/>
      </c>
      <c r="T906">
        <f>IMAGE("https://mitra.stanford.edu/kundaje/oak/projects/neuro-variants/variant_position/credible/roussos_2024/variant_figures/roussos_2024.childhood.Astrocyte/rs373281699_profile_position.png",4,220,900)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-0.0227415822</v>
      </c>
      <c r="G907" t="n">
        <v>0.4815940554450104</v>
      </c>
      <c r="H907" t="n">
        <v>0.0480556174865038</v>
      </c>
      <c r="I907" t="n">
        <v>0.0049373881933278</v>
      </c>
      <c r="J907" t="n">
        <v>0.0054208361002343</v>
      </c>
      <c r="K907" t="n">
        <v>0.7683792945692085</v>
      </c>
      <c r="L907" t="b">
        <v>0</v>
      </c>
      <c r="M907" t="b">
        <v>0</v>
      </c>
      <c r="N907" t="inlineStr">
        <is>
          <t>ref</t>
        </is>
      </c>
      <c r="O907" t="n">
        <v>-25</v>
      </c>
      <c r="P907" t="n">
        <v>0.0697</v>
      </c>
      <c r="Q907" t="n">
        <v>100</v>
      </c>
      <c r="R907" t="n">
        <v>0.1225</v>
      </c>
      <c r="S907">
        <f>IMAGE("https://mitra.stanford.edu/kundaje/oak/projects/neuro-variants/variant_position/credible/roussos_2024/variant_figures/roussos_2024.childhood.Astrocyte/rs374837345_count_position.png",4,220,900)</f>
        <v/>
      </c>
      <c r="T907">
        <f>IMAGE("https://mitra.stanford.edu/kundaje/oak/projects/neuro-variants/variant_position/credible/roussos_2024/variant_figures/roussos_2024.childhood.Astrocyte/rs374837345_profile_position.png",4,220,900)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0.010287829032</v>
      </c>
      <c r="G908" t="n">
        <v>0.651504544769069</v>
      </c>
      <c r="H908" t="n">
        <v>0.0116248692082701</v>
      </c>
      <c r="I908" t="n">
        <v>0.5436426215007711</v>
      </c>
      <c r="J908" t="n">
        <v>0.0339760176471036</v>
      </c>
      <c r="K908" t="n">
        <v>0.5154336911049617</v>
      </c>
      <c r="L908" t="b">
        <v>0</v>
      </c>
      <c r="M908" t="b">
        <v>0</v>
      </c>
      <c r="N908" t="inlineStr">
        <is>
          <t>alt</t>
        </is>
      </c>
      <c r="O908" t="n">
        <v>-65</v>
      </c>
      <c r="P908" t="n">
        <v>0.00241</v>
      </c>
      <c r="Q908" t="n">
        <v>-100</v>
      </c>
      <c r="R908" t="n">
        <v>0.0824</v>
      </c>
      <c r="S908">
        <f>IMAGE("https://mitra.stanford.edu/kundaje/oak/projects/neuro-variants/variant_position/credible/roussos_2024/variant_figures/roussos_2024.childhood.Astrocyte/rs28421373_count_position.png",4,220,900)</f>
        <v/>
      </c>
      <c r="T908">
        <f>IMAGE("https://mitra.stanford.edu/kundaje/oak/projects/neuro-variants/variant_position/credible/roussos_2024/variant_figures/roussos_2024.childhood.Astrocyte/rs28421373_profile_position.png",4,220,900)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-0.0317822902</v>
      </c>
      <c r="G909" t="n">
        <v>0.3689114010783493</v>
      </c>
      <c r="H909" t="n">
        <v>0.0141361358327292</v>
      </c>
      <c r="I909" t="n">
        <v>0.3593385852295294</v>
      </c>
      <c r="J909" t="n">
        <v>0.007853419126346199</v>
      </c>
      <c r="K909" t="n">
        <v>0.7198803485400797</v>
      </c>
      <c r="L909" t="b">
        <v>0</v>
      </c>
      <c r="M909" t="b">
        <v>0</v>
      </c>
      <c r="N909" t="inlineStr">
        <is>
          <t>ref</t>
        </is>
      </c>
      <c r="O909" t="n">
        <v>55</v>
      </c>
      <c r="P909" t="n">
        <v>0.003038</v>
      </c>
      <c r="Q909" t="n">
        <v>-25</v>
      </c>
      <c r="R909" t="n">
        <v>0.1371</v>
      </c>
      <c r="S909">
        <f>IMAGE("https://mitra.stanford.edu/kundaje/oak/projects/neuro-variants/variant_position/credible/roussos_2024/variant_figures/roussos_2024.childhood.Astrocyte/rs28430881_count_position.png",4,220,900)</f>
        <v/>
      </c>
      <c r="T909">
        <f>IMAGE("https://mitra.stanford.edu/kundaje/oak/projects/neuro-variants/variant_position/credible/roussos_2024/variant_figures/roussos_2024.childhood.Astrocyte/rs28430881_profile_position.png",4,220,900)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0.0016739235999999</v>
      </c>
      <c r="G910" t="n">
        <v>0.2677350064175115</v>
      </c>
      <c r="H910" t="n">
        <v>0.0501384141146639</v>
      </c>
      <c r="I910" t="n">
        <v>0.0039956092696789</v>
      </c>
      <c r="J910" t="n">
        <v>0.0068558082022393</v>
      </c>
      <c r="K910" t="n">
        <v>0.7460442751828382</v>
      </c>
      <c r="L910" t="b">
        <v>0</v>
      </c>
      <c r="M910" t="b">
        <v>0</v>
      </c>
      <c r="N910" t="inlineStr">
        <is>
          <t>alt</t>
        </is>
      </c>
      <c r="O910" t="n">
        <v>0</v>
      </c>
      <c r="P910" t="n">
        <v>0</v>
      </c>
      <c r="Q910" t="n">
        <v>100</v>
      </c>
      <c r="R910" t="n">
        <v>0.089</v>
      </c>
      <c r="S910">
        <f>IMAGE("https://mitra.stanford.edu/kundaje/oak/projects/neuro-variants/variant_position/credible/roussos_2024/variant_figures/roussos_2024.childhood.Astrocyte/rs28498376_count_position.png",4,220,900)</f>
        <v/>
      </c>
      <c r="T910">
        <f>IMAGE("https://mitra.stanford.edu/kundaje/oak/projects/neuro-variants/variant_position/credible/roussos_2024/variant_figures/roussos_2024.childhood.Astrocyte/rs28498376_profile_position.png",4,220,900)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-0.0066629597</v>
      </c>
      <c r="G911" t="n">
        <v>0.7145721969502941</v>
      </c>
      <c r="H911" t="n">
        <v>0.0074507213098906</v>
      </c>
      <c r="I911" t="n">
        <v>0.9409216100069984</v>
      </c>
      <c r="J911" t="n">
        <v>0.3686954729683314</v>
      </c>
      <c r="K911" t="n">
        <v>0.1015029728917069</v>
      </c>
      <c r="L911" t="b">
        <v>0</v>
      </c>
      <c r="M911" t="b">
        <v>0</v>
      </c>
      <c r="N911" t="inlineStr">
        <is>
          <t>ref</t>
        </is>
      </c>
      <c r="O911" t="n">
        <v>-5</v>
      </c>
      <c r="P911" t="n">
        <v>0.003233</v>
      </c>
      <c r="Q911" t="n">
        <v>100</v>
      </c>
      <c r="R911" t="n">
        <v>0.2119</v>
      </c>
      <c r="S911">
        <f>IMAGE("https://mitra.stanford.edu/kundaje/oak/projects/neuro-variants/variant_position/credible/roussos_2024/variant_figures/roussos_2024.childhood.Astrocyte/rs28478366_count_position.png",4,220,900)</f>
        <v/>
      </c>
      <c r="T911">
        <f>IMAGE("https://mitra.stanford.edu/kundaje/oak/projects/neuro-variants/variant_position/credible/roussos_2024/variant_figures/roussos_2024.childhood.Astrocyte/rs28478366_profile_position.png",4,220,900)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-0.131419698</v>
      </c>
      <c r="G912" t="n">
        <v>0.0414695529016646</v>
      </c>
      <c r="H912" t="n">
        <v>0.0154497592613394</v>
      </c>
      <c r="I912" t="n">
        <v>0.2824612900098661</v>
      </c>
      <c r="J912" t="n">
        <v>0.2749444711593506</v>
      </c>
      <c r="K912" t="n">
        <v>0.1511235305673459</v>
      </c>
      <c r="L912" t="b">
        <v>0</v>
      </c>
      <c r="M912" t="b">
        <v>0</v>
      </c>
      <c r="N912" t="inlineStr">
        <is>
          <t>ref</t>
        </is>
      </c>
      <c r="O912" t="n">
        <v>55</v>
      </c>
      <c r="P912" t="n">
        <v>0.003693</v>
      </c>
      <c r="Q912" t="n">
        <v>-35</v>
      </c>
      <c r="R912" t="n">
        <v>0.02853</v>
      </c>
      <c r="S912">
        <f>IMAGE("https://mitra.stanford.edu/kundaje/oak/projects/neuro-variants/variant_position/credible/roussos_2024/variant_figures/roussos_2024.childhood.Astrocyte/rs11059094_count_position.png",4,220,900)</f>
        <v/>
      </c>
      <c r="T912">
        <f>IMAGE("https://mitra.stanford.edu/kundaje/oak/projects/neuro-variants/variant_position/credible/roussos_2024/variant_figures/roussos_2024.childhood.Astrocyte/rs11059094_profile_position.png",4,220,900)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-0.0300574344999999</v>
      </c>
      <c r="G913" t="n">
        <v>0.2989289995161174</v>
      </c>
      <c r="H913" t="n">
        <v>0.0130562654882632</v>
      </c>
      <c r="I913" t="n">
        <v>0.4298236092696508</v>
      </c>
      <c r="J913" t="n">
        <v>0.5538671734866006</v>
      </c>
      <c r="K913" t="n">
        <v>0.0432385035776393</v>
      </c>
      <c r="L913" t="b">
        <v>0</v>
      </c>
      <c r="M913" t="b">
        <v>0</v>
      </c>
      <c r="N913" t="inlineStr">
        <is>
          <t>ref</t>
        </is>
      </c>
      <c r="O913" t="n">
        <v>-95</v>
      </c>
      <c r="P913" t="n">
        <v>0.007042</v>
      </c>
      <c r="Q913" t="n">
        <v>100</v>
      </c>
      <c r="R913" t="n">
        <v>0.03613</v>
      </c>
      <c r="S913">
        <f>IMAGE("https://mitra.stanford.edu/kundaje/oak/projects/neuro-variants/variant_position/credible/roussos_2024/variant_figures/roussos_2024.childhood.Astrocyte/rs11609875_count_position.png",4,220,900)</f>
        <v/>
      </c>
      <c r="T913">
        <f>IMAGE("https://mitra.stanford.edu/kundaje/oak/projects/neuro-variants/variant_position/credible/roussos_2024/variant_figures/roussos_2024.childhood.Astrocyte/rs11609875_profile_position.png",4,220,900)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-0.0399333164</v>
      </c>
      <c r="G914" t="n">
        <v>0.2880272174659725</v>
      </c>
      <c r="H914" t="n">
        <v>0.0129783156230876</v>
      </c>
      <c r="I914" t="n">
        <v>0.4299406566338279</v>
      </c>
      <c r="J914" t="n">
        <v>0.2371970720462854</v>
      </c>
      <c r="K914" t="n">
        <v>0.1724710372897322</v>
      </c>
      <c r="L914" t="b">
        <v>0</v>
      </c>
      <c r="M914" t="b">
        <v>0</v>
      </c>
      <c r="N914" t="inlineStr">
        <is>
          <t>ref</t>
        </is>
      </c>
      <c r="O914" t="n">
        <v>100</v>
      </c>
      <c r="P914" t="n">
        <v>0.0381</v>
      </c>
      <c r="Q914" t="n">
        <v>-100</v>
      </c>
      <c r="R914" t="n">
        <v>0.2395</v>
      </c>
      <c r="S914">
        <f>IMAGE("https://mitra.stanford.edu/kundaje/oak/projects/neuro-variants/variant_position/credible/roussos_2024/variant_figures/roussos_2024.childhood.Astrocyte/rs11057905_count_position.png",4,220,900)</f>
        <v/>
      </c>
      <c r="T914">
        <f>IMAGE("https://mitra.stanford.edu/kundaje/oak/projects/neuro-variants/variant_position/credible/roussos_2024/variant_figures/roussos_2024.childhood.Astrocyte/rs11057905_profile_position.png",4,220,900)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-0.1371464908</v>
      </c>
      <c r="G915" t="n">
        <v>0.0396094286869738</v>
      </c>
      <c r="H915" t="n">
        <v>0.0161546939288261</v>
      </c>
      <c r="I915" t="n">
        <v>0.2401942552910899</v>
      </c>
      <c r="J915" t="n">
        <v>0.06907482463572311</v>
      </c>
      <c r="K915" t="n">
        <v>0.4011040278682639</v>
      </c>
      <c r="L915" t="b">
        <v>0</v>
      </c>
      <c r="M915" t="b">
        <v>0</v>
      </c>
      <c r="N915" t="inlineStr">
        <is>
          <t>ref</t>
        </is>
      </c>
      <c r="O915" t="n">
        <v>45</v>
      </c>
      <c r="P915" t="n">
        <v>0.00525</v>
      </c>
      <c r="Q915" t="n">
        <v>-15</v>
      </c>
      <c r="R915" t="n">
        <v>0.004395</v>
      </c>
      <c r="S915">
        <f>IMAGE("https://mitra.stanford.edu/kundaje/oak/projects/neuro-variants/variant_position/credible/roussos_2024/variant_figures/roussos_2024.childhood.Astrocyte/rs114490539_count_position.png",4,220,900)</f>
        <v/>
      </c>
      <c r="T915">
        <f>IMAGE("https://mitra.stanford.edu/kundaje/oak/projects/neuro-variants/variant_position/credible/roussos_2024/variant_figures/roussos_2024.childhood.Astrocyte/rs114490539_profile_position.png",4,220,900)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0.01716716266</v>
      </c>
      <c r="G916" t="n">
        <v>0.5711956543981241</v>
      </c>
      <c r="H916" t="n">
        <v>0.0106574473666548</v>
      </c>
      <c r="I916" t="n">
        <v>0.6387521356491298</v>
      </c>
      <c r="J916" t="n">
        <v>0.1149985115980856</v>
      </c>
      <c r="K916" t="n">
        <v>0.3079724452427179</v>
      </c>
      <c r="L916" t="b">
        <v>0</v>
      </c>
      <c r="M916" t="b">
        <v>0</v>
      </c>
      <c r="N916" t="inlineStr">
        <is>
          <t>alt</t>
        </is>
      </c>
      <c r="O916" t="n">
        <v>-95</v>
      </c>
      <c r="P916" t="n">
        <v>0.05164</v>
      </c>
      <c r="Q916" t="n">
        <v>-100</v>
      </c>
      <c r="R916" t="n">
        <v>0.05145</v>
      </c>
      <c r="S916">
        <f>IMAGE("https://mitra.stanford.edu/kundaje/oak/projects/neuro-variants/variant_position/credible/roussos_2024/variant_figures/roussos_2024.childhood.Astrocyte/rs4758691_count_position.png",4,220,900)</f>
        <v/>
      </c>
      <c r="T916">
        <f>IMAGE("https://mitra.stanford.edu/kundaje/oak/projects/neuro-variants/variant_position/credible/roussos_2024/variant_figures/roussos_2024.childhood.Astrocyte/rs4758691_profile_position.png",4,220,900)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-0.08328907620000001</v>
      </c>
      <c r="G917" t="n">
        <v>0.098757231208075</v>
      </c>
      <c r="H917" t="n">
        <v>0.0164426427513131</v>
      </c>
      <c r="I917" t="n">
        <v>0.2386659305128062</v>
      </c>
      <c r="J917" t="n">
        <v>0.309507453458817</v>
      </c>
      <c r="K917" t="n">
        <v>0.1270167344770243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0.0177</v>
      </c>
      <c r="Q917" t="n">
        <v>-100</v>
      </c>
      <c r="R917" t="n">
        <v>0.311</v>
      </c>
      <c r="S917">
        <f>IMAGE("https://mitra.stanford.edu/kundaje/oak/projects/neuro-variants/variant_position/credible/roussos_2024/variant_figures/roussos_2024.childhood.Astrocyte/rs4758690_count_position.png",4,220,900)</f>
        <v/>
      </c>
      <c r="T917">
        <f>IMAGE("https://mitra.stanford.edu/kundaje/oak/projects/neuro-variants/variant_position/credible/roussos_2024/variant_figures/roussos_2024.childhood.Astrocyte/rs4758690_profile_position.png",4,220,900)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-0.0378748353999999</v>
      </c>
      <c r="G918" t="n">
        <v>0.3032174811324445</v>
      </c>
      <c r="H918" t="n">
        <v>0.0255584357792178</v>
      </c>
      <c r="I918" t="n">
        <v>0.0549861672187073</v>
      </c>
      <c r="J918" t="n">
        <v>0.3486783754283926</v>
      </c>
      <c r="K918" t="n">
        <v>0.1076297805341834</v>
      </c>
      <c r="L918" t="b">
        <v>0</v>
      </c>
      <c r="M918" t="b">
        <v>0</v>
      </c>
      <c r="N918" t="inlineStr">
        <is>
          <t>ref</t>
        </is>
      </c>
      <c r="O918" t="n">
        <v>35</v>
      </c>
      <c r="P918" t="n">
        <v>0.00487</v>
      </c>
      <c r="Q918" t="n">
        <v>85</v>
      </c>
      <c r="R918" t="n">
        <v>0.06287</v>
      </c>
      <c r="S918">
        <f>IMAGE("https://mitra.stanford.edu/kundaje/oak/projects/neuro-variants/variant_position/credible/roussos_2024/variant_figures/roussos_2024.childhood.Astrocyte/rs7485421_count_position.png",4,220,900)</f>
        <v/>
      </c>
      <c r="T918">
        <f>IMAGE("https://mitra.stanford.edu/kundaje/oak/projects/neuro-variants/variant_position/credible/roussos_2024/variant_figures/roussos_2024.childhood.Astrocyte/rs7485421_profile_position.png",4,220,900)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0.1342723199999999</v>
      </c>
      <c r="G919" t="n">
        <v>0.0397806434270944</v>
      </c>
      <c r="H919" t="n">
        <v>0.0280420127476622</v>
      </c>
      <c r="I919" t="n">
        <v>0.0415957710222592</v>
      </c>
      <c r="J919" t="n">
        <v>0.1462946425163914</v>
      </c>
      <c r="K919" t="n">
        <v>0.2604204733693676</v>
      </c>
      <c r="L919" t="b">
        <v>0</v>
      </c>
      <c r="M919" t="b">
        <v>0</v>
      </c>
      <c r="N919" t="inlineStr">
        <is>
          <t>alt</t>
        </is>
      </c>
      <c r="O919" t="n">
        <v>-70</v>
      </c>
      <c r="P919" t="n">
        <v>0.0081</v>
      </c>
      <c r="Q919" t="n">
        <v>95</v>
      </c>
      <c r="R919" t="n">
        <v>0.0798</v>
      </c>
      <c r="S919">
        <f>IMAGE("https://mitra.stanford.edu/kundaje/oak/projects/neuro-variants/variant_position/credible/roussos_2024/variant_figures/roussos_2024.childhood.Astrocyte/rs6489242_count_position.png",4,220,900)</f>
        <v/>
      </c>
      <c r="T919">
        <f>IMAGE("https://mitra.stanford.edu/kundaje/oak/projects/neuro-variants/variant_position/credible/roussos_2024/variant_figures/roussos_2024.childhood.Astrocyte/rs6489242_profile_position.png",4,220,900)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-8.32010000000008e-05</v>
      </c>
      <c r="G920" t="n">
        <v>0.5465137688442814</v>
      </c>
      <c r="H920" t="n">
        <v>0.0081736375497766</v>
      </c>
      <c r="I920" t="n">
        <v>0.8907169459507345</v>
      </c>
      <c r="J920" t="n">
        <v>0.3907276377153412</v>
      </c>
      <c r="K920" t="n">
        <v>0.0925096139301206</v>
      </c>
      <c r="L920" t="b">
        <v>0</v>
      </c>
      <c r="M920" t="b">
        <v>0</v>
      </c>
      <c r="N920" t="inlineStr">
        <is>
          <t>ref</t>
        </is>
      </c>
      <c r="O920" t="n">
        <v>90</v>
      </c>
      <c r="P920" t="n">
        <v>0.00444</v>
      </c>
      <c r="Q920" t="n">
        <v>-100</v>
      </c>
      <c r="R920" t="n">
        <v>0.01492</v>
      </c>
      <c r="S920">
        <f>IMAGE("https://mitra.stanford.edu/kundaje/oak/projects/neuro-variants/variant_position/credible/roussos_2024/variant_figures/roussos_2024.childhood.Astrocyte/rs7488268_count_position.png",4,220,900)</f>
        <v/>
      </c>
      <c r="T920">
        <f>IMAGE("https://mitra.stanford.edu/kundaje/oak/projects/neuro-variants/variant_position/credible/roussos_2024/variant_figures/roussos_2024.childhood.Astrocyte/rs7488268_profile_position.png",4,220,900)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-0.00525917924</v>
      </c>
      <c r="G921" t="n">
        <v>0.7392653127324093</v>
      </c>
      <c r="H921" t="n">
        <v>0.0093059360449549</v>
      </c>
      <c r="I921" t="n">
        <v>0.7821549982811907</v>
      </c>
      <c r="J921" t="n">
        <v>0.5758031645714548</v>
      </c>
      <c r="K921" t="n">
        <v>0.0385155302370308</v>
      </c>
      <c r="L921" t="b">
        <v>0</v>
      </c>
      <c r="M921" t="b">
        <v>0</v>
      </c>
      <c r="N921" t="inlineStr">
        <is>
          <t>ref</t>
        </is>
      </c>
      <c r="O921" t="n">
        <v>90</v>
      </c>
      <c r="P921" t="n">
        <v>0.01375</v>
      </c>
      <c r="Q921" t="n">
        <v>-40</v>
      </c>
      <c r="R921" t="n">
        <v>0.2003</v>
      </c>
      <c r="S921">
        <f>IMAGE("https://mitra.stanford.edu/kundaje/oak/projects/neuro-variants/variant_position/credible/roussos_2024/variant_figures/roussos_2024.childhood.Astrocyte/rs4758686_count_position.png",4,220,900)</f>
        <v/>
      </c>
      <c r="T921">
        <f>IMAGE("https://mitra.stanford.edu/kundaje/oak/projects/neuro-variants/variant_position/credible/roussos_2024/variant_figures/roussos_2024.childhood.Astrocyte/rs4758686_profile_position.png",4,220,900)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-0.0367336342</v>
      </c>
      <c r="G922" t="n">
        <v>0.0951249653544777</v>
      </c>
      <c r="H922" t="n">
        <v>0.0380350971020835</v>
      </c>
      <c r="I922" t="n">
        <v>0.0116367472075914</v>
      </c>
      <c r="J922" t="n">
        <v>0.4354689992596154</v>
      </c>
      <c r="K922" t="n">
        <v>0.0744071652738932</v>
      </c>
      <c r="L922" t="b">
        <v>1</v>
      </c>
      <c r="M922" t="b">
        <v>0</v>
      </c>
      <c r="N922" t="inlineStr">
        <is>
          <t>ref</t>
        </is>
      </c>
      <c r="O922" t="n">
        <v>-20</v>
      </c>
      <c r="P922" t="n">
        <v>0.002113</v>
      </c>
      <c r="Q922" t="n">
        <v>40</v>
      </c>
      <c r="R922" t="n">
        <v>0.08154</v>
      </c>
      <c r="S922">
        <f>IMAGE("https://mitra.stanford.edu/kundaje/oak/projects/neuro-variants/variant_position/credible/roussos_2024/variant_figures/roussos_2024.childhood.Astrocyte/rs11057509_count_position.png",4,220,900)</f>
        <v/>
      </c>
      <c r="T922">
        <f>IMAGE("https://mitra.stanford.edu/kundaje/oak/projects/neuro-variants/variant_position/credible/roussos_2024/variant_figures/roussos_2024.childhood.Astrocyte/rs11057509_profile_position.png",4,220,900)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0.07030236719999999</v>
      </c>
      <c r="G923" t="n">
        <v>0.1393863646572354</v>
      </c>
      <c r="H923" t="n">
        <v>0.0133795126515462</v>
      </c>
      <c r="I923" t="n">
        <v>0.4123308404713072</v>
      </c>
      <c r="J923" t="n">
        <v>0.4163976093975406</v>
      </c>
      <c r="K923" t="n">
        <v>0.0813432777256676</v>
      </c>
      <c r="L923" t="b">
        <v>0</v>
      </c>
      <c r="M923" t="b">
        <v>0</v>
      </c>
      <c r="N923" t="inlineStr">
        <is>
          <t>alt</t>
        </is>
      </c>
      <c r="O923" t="n">
        <v>95</v>
      </c>
      <c r="P923" t="n">
        <v>0.003933</v>
      </c>
      <c r="Q923" t="n">
        <v>50</v>
      </c>
      <c r="R923" t="n">
        <v>0.05518</v>
      </c>
      <c r="S923">
        <f>IMAGE("https://mitra.stanford.edu/kundaje/oak/projects/neuro-variants/variant_position/credible/roussos_2024/variant_figures/roussos_2024.childhood.Astrocyte/rs1047796_count_position.png",4,220,900)</f>
        <v/>
      </c>
      <c r="T923">
        <f>IMAGE("https://mitra.stanford.edu/kundaje/oak/projects/neuro-variants/variant_position/credible/roussos_2024/variant_figures/roussos_2024.childhood.Astrocyte/rs1047796_profile_position.png",4,220,900)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0.1108761958</v>
      </c>
      <c r="G924" t="n">
        <v>0.06705981818520571</v>
      </c>
      <c r="H924" t="n">
        <v>0.025548940809046</v>
      </c>
      <c r="I924" t="n">
        <v>0.0610567439405997</v>
      </c>
      <c r="J924" t="n">
        <v>0.0550754505278101</v>
      </c>
      <c r="K924" t="n">
        <v>0.4356868659962031</v>
      </c>
      <c r="L924" t="b">
        <v>0</v>
      </c>
      <c r="M924" t="b">
        <v>0</v>
      </c>
      <c r="N924" t="inlineStr">
        <is>
          <t>alt</t>
        </is>
      </c>
      <c r="O924" t="n">
        <v>95</v>
      </c>
      <c r="P924" t="n">
        <v>0.008545000000000001</v>
      </c>
      <c r="Q924" t="n">
        <v>-5</v>
      </c>
      <c r="R924" t="n">
        <v>0.03345</v>
      </c>
      <c r="S924">
        <f>IMAGE("https://mitra.stanford.edu/kundaje/oak/projects/neuro-variants/variant_position/credible/roussos_2024/variant_figures/roussos_2024.childhood.Astrocyte/rs11057249_count_position.png",4,220,900)</f>
        <v/>
      </c>
      <c r="T924">
        <f>IMAGE("https://mitra.stanford.edu/kundaje/oak/projects/neuro-variants/variant_position/credible/roussos_2024/variant_figures/roussos_2024.childhood.Astrocyte/rs11057249_profile_position.png",4,220,900)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-0.1214599674</v>
      </c>
      <c r="G925" t="n">
        <v>0.0786049997427761</v>
      </c>
      <c r="H925" t="n">
        <v>0.0182065791792615</v>
      </c>
      <c r="I925" t="n">
        <v>0.1799021013967665</v>
      </c>
      <c r="J925" t="n">
        <v>0.8033447062505248</v>
      </c>
      <c r="K925" t="n">
        <v>0.0071154508511715</v>
      </c>
      <c r="L925" t="b">
        <v>0</v>
      </c>
      <c r="M925" t="b">
        <v>0</v>
      </c>
      <c r="N925" t="inlineStr">
        <is>
          <t>ref</t>
        </is>
      </c>
      <c r="O925" t="n">
        <v>0</v>
      </c>
      <c r="P925" t="n">
        <v>0</v>
      </c>
      <c r="Q925" t="n">
        <v>-10</v>
      </c>
      <c r="R925" t="n">
        <v>0.01563</v>
      </c>
      <c r="S925">
        <f>IMAGE("https://mitra.stanford.edu/kundaje/oak/projects/neuro-variants/variant_position/credible/roussos_2024/variant_figures/roussos_2024.childhood.Astrocyte/rs12298151_count_position.png",4,220,900)</f>
        <v/>
      </c>
      <c r="T925">
        <f>IMAGE("https://mitra.stanford.edu/kundaje/oak/projects/neuro-variants/variant_position/credible/roussos_2024/variant_figures/roussos_2024.childhood.Astrocyte/rs12298151_profile_position.png",4,220,900)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-0.0912033396</v>
      </c>
      <c r="G926" t="n">
        <v>0.09699873504902019</v>
      </c>
      <c r="H926" t="n">
        <v>0.0208080091792243</v>
      </c>
      <c r="I926" t="n">
        <v>0.1150377510716654</v>
      </c>
      <c r="J926" t="n">
        <v>0.1366078175448237</v>
      </c>
      <c r="K926" t="n">
        <v>0.2740906131851548</v>
      </c>
      <c r="L926" t="b">
        <v>0</v>
      </c>
      <c r="M926" t="b">
        <v>0</v>
      </c>
      <c r="N926" t="inlineStr">
        <is>
          <t>ref</t>
        </is>
      </c>
      <c r="O926" t="n">
        <v>-100</v>
      </c>
      <c r="P926" t="n">
        <v>0.00666</v>
      </c>
      <c r="Q926" t="n">
        <v>-70</v>
      </c>
      <c r="R926" t="n">
        <v>0.04065</v>
      </c>
      <c r="S926">
        <f>IMAGE("https://mitra.stanford.edu/kundaje/oak/projects/neuro-variants/variant_position/credible/roussos_2024/variant_figures/roussos_2024.childhood.Astrocyte/rs4275659_count_position.png",4,220,900)</f>
        <v/>
      </c>
      <c r="T926">
        <f>IMAGE("https://mitra.stanford.edu/kundaje/oak/projects/neuro-variants/variant_position/credible/roussos_2024/variant_figures/roussos_2024.childhood.Astrocyte/rs4275659_profile_position.png",4,220,900)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-0.0968771732</v>
      </c>
      <c r="G927" t="n">
        <v>0.0813512872908918</v>
      </c>
      <c r="H927" t="n">
        <v>0.0183100980507208</v>
      </c>
      <c r="I927" t="n">
        <v>0.1750848101326767</v>
      </c>
      <c r="J927" t="n">
        <v>0.91593658644562</v>
      </c>
      <c r="K927" t="n">
        <v>0.0012903448816268</v>
      </c>
      <c r="L927" t="b">
        <v>0</v>
      </c>
      <c r="M927" t="b">
        <v>0</v>
      </c>
      <c r="N927" t="inlineStr">
        <is>
          <t>ref</t>
        </is>
      </c>
      <c r="O927" t="n">
        <v>30</v>
      </c>
      <c r="P927" t="n">
        <v>0.00354</v>
      </c>
      <c r="Q927" t="n">
        <v>60</v>
      </c>
      <c r="R927" t="n">
        <v>0.03516</v>
      </c>
      <c r="S927">
        <f>IMAGE("https://mitra.stanford.edu/kundaje/oak/projects/neuro-variants/variant_position/credible/roussos_2024/variant_figures/roussos_2024.childhood.Astrocyte/rs61955196_count_position.png",4,220,900)</f>
        <v/>
      </c>
      <c r="T927">
        <f>IMAGE("https://mitra.stanford.edu/kundaje/oak/projects/neuro-variants/variant_position/credible/roussos_2024/variant_figures/roussos_2024.childhood.Astrocyte/rs61955196_profile_position.png",4,220,900)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0.0084607378</v>
      </c>
      <c r="G928" t="n">
        <v>0.6385771327352577</v>
      </c>
      <c r="H928" t="n">
        <v>0.0133436831986198</v>
      </c>
      <c r="I928" t="n">
        <v>0.4021153170636554</v>
      </c>
      <c r="J928" t="n">
        <v>0.795472968331387</v>
      </c>
      <c r="K928" t="n">
        <v>0.008601966532039099</v>
      </c>
      <c r="L928" t="b">
        <v>0</v>
      </c>
      <c r="M928" t="b">
        <v>0</v>
      </c>
      <c r="N928" t="inlineStr">
        <is>
          <t>alt</t>
        </is>
      </c>
      <c r="O928" t="n">
        <v>-80</v>
      </c>
      <c r="P928" t="n">
        <v>0.03073</v>
      </c>
      <c r="Q928" t="n">
        <v>-80</v>
      </c>
      <c r="R928" t="n">
        <v>0.3367</v>
      </c>
      <c r="S928">
        <f>IMAGE("https://mitra.stanford.edu/kundaje/oak/projects/neuro-variants/variant_position/credible/roussos_2024/variant_figures/roussos_2024.childhood.Astrocyte/rs3741530_count_position.png",4,220,900)</f>
        <v/>
      </c>
      <c r="T928">
        <f>IMAGE("https://mitra.stanford.edu/kundaje/oak/projects/neuro-variants/variant_position/credible/roussos_2024/variant_figures/roussos_2024.childhood.Astrocyte/rs3741530_profile_position.png",4,220,900)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0.0539543406</v>
      </c>
      <c r="G929" t="n">
        <v>0.2003300827169415</v>
      </c>
      <c r="H929" t="n">
        <v>0.0231776625580466</v>
      </c>
      <c r="I929" t="n">
        <v>0.0773515554222988</v>
      </c>
      <c r="J929" t="n">
        <v>0.0010739392274048</v>
      </c>
      <c r="K929" t="n">
        <v>0.9107689128664116</v>
      </c>
      <c r="L929" t="b">
        <v>0</v>
      </c>
      <c r="M929" t="b">
        <v>0</v>
      </c>
      <c r="N929" t="inlineStr">
        <is>
          <t>alt</t>
        </is>
      </c>
      <c r="O929" t="n">
        <v>70</v>
      </c>
      <c r="P929" t="n">
        <v>0.005615</v>
      </c>
      <c r="Q929" t="n">
        <v>-85</v>
      </c>
      <c r="R929" t="n">
        <v>0.05017</v>
      </c>
      <c r="S929">
        <f>IMAGE("https://mitra.stanford.edu/kundaje/oak/projects/neuro-variants/variant_position/credible/roussos_2024/variant_figures/roussos_2024.childhood.Astrocyte/rs12425850_count_position.png",4,220,900)</f>
        <v/>
      </c>
      <c r="T929">
        <f>IMAGE("https://mitra.stanford.edu/kundaje/oak/projects/neuro-variants/variant_position/credible/roussos_2024/variant_figures/roussos_2024.childhood.Astrocyte/rs12425850_profile_position.png",4,220,900)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0.0130583316</v>
      </c>
      <c r="G930" t="n">
        <v>0.6468131904146339</v>
      </c>
      <c r="H930" t="n">
        <v>0.009124364700644901</v>
      </c>
      <c r="I930" t="n">
        <v>0.8000204386503622</v>
      </c>
      <c r="J930" t="n">
        <v>0.0196079778342606</v>
      </c>
      <c r="K930" t="n">
        <v>0.6052042684595145</v>
      </c>
      <c r="L930" t="b">
        <v>0</v>
      </c>
      <c r="M930" t="b">
        <v>0</v>
      </c>
      <c r="N930" t="inlineStr">
        <is>
          <t>alt</t>
        </is>
      </c>
      <c r="O930" t="n">
        <v>0</v>
      </c>
      <c r="P930" t="n">
        <v>0</v>
      </c>
      <c r="Q930" t="n">
        <v>50</v>
      </c>
      <c r="R930" t="n">
        <v>0.01294</v>
      </c>
      <c r="S930">
        <f>IMAGE("https://mitra.stanford.edu/kundaje/oak/projects/neuro-variants/variant_position/credible/roussos_2024/variant_figures/roussos_2024.childhood.Astrocyte/rs1790094_count_position.png",4,220,900)</f>
        <v/>
      </c>
      <c r="T930">
        <f>IMAGE("https://mitra.stanford.edu/kundaje/oak/projects/neuro-variants/variant_position/credible/roussos_2024/variant_figures/roussos_2024.childhood.Astrocyte/rs1790094_profile_position.png",4,220,900)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0.0389864376</v>
      </c>
      <c r="G931" t="n">
        <v>0.2897759894252846</v>
      </c>
      <c r="H931" t="n">
        <v>0.009343387380352199</v>
      </c>
      <c r="I931" t="n">
        <v>0.7759893742217623</v>
      </c>
      <c r="J931" t="n">
        <v>0.0881034706479509</v>
      </c>
      <c r="K931" t="n">
        <v>0.3466596386046902</v>
      </c>
      <c r="L931" t="b">
        <v>0</v>
      </c>
      <c r="M931" t="b">
        <v>0</v>
      </c>
      <c r="N931" t="inlineStr">
        <is>
          <t>alt</t>
        </is>
      </c>
      <c r="O931" t="n">
        <v>65</v>
      </c>
      <c r="P931" t="n">
        <v>0.05222</v>
      </c>
      <c r="Q931" t="n">
        <v>65</v>
      </c>
      <c r="R931" t="n">
        <v>0.2288</v>
      </c>
      <c r="S931">
        <f>IMAGE("https://mitra.stanford.edu/kundaje/oak/projects/neuro-variants/variant_position/credible/roussos_2024/variant_figures/roussos_2024.childhood.Astrocyte/rs58991895_count_position.png",4,220,900)</f>
        <v/>
      </c>
      <c r="T931">
        <f>IMAGE("https://mitra.stanford.edu/kundaje/oak/projects/neuro-variants/variant_position/credible/roussos_2024/variant_figures/roussos_2024.childhood.Astrocyte/rs58991895_profile_position.png",4,220,900)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-0.0771338194</v>
      </c>
      <c r="G932" t="n">
        <v>0.1143587427242754</v>
      </c>
      <c r="H932" t="n">
        <v>0.0131726356789622</v>
      </c>
      <c r="I932" t="n">
        <v>0.412238358635584</v>
      </c>
      <c r="J932" t="n">
        <v>0.0881775091021501</v>
      </c>
      <c r="K932" t="n">
        <v>0.3495508971295326</v>
      </c>
      <c r="L932" t="b">
        <v>0</v>
      </c>
      <c r="M932" t="b">
        <v>0</v>
      </c>
      <c r="N932" t="inlineStr">
        <is>
          <t>ref</t>
        </is>
      </c>
      <c r="O932" t="n">
        <v>60</v>
      </c>
      <c r="P932" t="n">
        <v>0.00631</v>
      </c>
      <c r="Q932" t="n">
        <v>-80</v>
      </c>
      <c r="R932" t="n">
        <v>0.10626</v>
      </c>
      <c r="S932">
        <f>IMAGE("https://mitra.stanford.edu/kundaje/oak/projects/neuro-variants/variant_position/credible/roussos_2024/variant_figures/roussos_2024.childhood.Astrocyte/rs1727302_count_position.png",4,220,900)</f>
        <v/>
      </c>
      <c r="T932">
        <f>IMAGE("https://mitra.stanford.edu/kundaje/oak/projects/neuro-variants/variant_position/credible/roussos_2024/variant_figures/roussos_2024.childhood.Astrocyte/rs1727302_profile_position.png",4,220,900)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-0.0318976832</v>
      </c>
      <c r="G933" t="n">
        <v>0.3682851630932129</v>
      </c>
      <c r="H933" t="n">
        <v>0.0530613017816916</v>
      </c>
      <c r="I933" t="n">
        <v>0.0032000303349484</v>
      </c>
      <c r="J933" t="n">
        <v>0.000697640692145</v>
      </c>
      <c r="K933" t="n">
        <v>0.923418605223705</v>
      </c>
      <c r="L933" t="b">
        <v>0</v>
      </c>
      <c r="M933" t="b">
        <v>0</v>
      </c>
      <c r="N933" t="inlineStr">
        <is>
          <t>ref</t>
        </is>
      </c>
      <c r="O933" t="n">
        <v>-100</v>
      </c>
      <c r="P933" t="n">
        <v>0.014404</v>
      </c>
      <c r="Q933" t="n">
        <v>20</v>
      </c>
      <c r="R933" t="n">
        <v>0.0517</v>
      </c>
      <c r="S933">
        <f>IMAGE("https://mitra.stanford.edu/kundaje/oak/projects/neuro-variants/variant_position/credible/roussos_2024/variant_figures/roussos_2024.childhood.Astrocyte/rs11613128_count_position.png",4,220,900)</f>
        <v/>
      </c>
      <c r="T933">
        <f>IMAGE("https://mitra.stanford.edu/kundaje/oak/projects/neuro-variants/variant_position/credible/roussos_2024/variant_figures/roussos_2024.childhood.Astrocyte/rs11613128_profile_position.png",4,220,900)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-0.009111789499999899</v>
      </c>
      <c r="G934" t="n">
        <v>0.695462002348422</v>
      </c>
      <c r="H934" t="n">
        <v>0.026956476538505</v>
      </c>
      <c r="I934" t="n">
        <v>0.0447902473191014</v>
      </c>
      <c r="J934" t="n">
        <v>0.0236197934556112</v>
      </c>
      <c r="K934" t="n">
        <v>0.5654626729087361</v>
      </c>
      <c r="L934" t="b">
        <v>0</v>
      </c>
      <c r="M934" t="b">
        <v>0</v>
      </c>
      <c r="N934" t="inlineStr">
        <is>
          <t>ref</t>
        </is>
      </c>
      <c r="O934" t="n">
        <v>-100</v>
      </c>
      <c r="P934" t="n">
        <v>0.1929</v>
      </c>
      <c r="Q934" t="n">
        <v>-100</v>
      </c>
      <c r="R934" t="n">
        <v>0.1017</v>
      </c>
      <c r="S934">
        <f>IMAGE("https://mitra.stanford.edu/kundaje/oak/projects/neuro-variants/variant_position/credible/roussos_2024/variant_figures/roussos_2024.childhood.Astrocyte/rs4460848_count_position.png",4,220,900)</f>
        <v/>
      </c>
      <c r="T934">
        <f>IMAGE("https://mitra.stanford.edu/kundaje/oak/projects/neuro-variants/variant_position/credible/roussos_2024/variant_figures/roussos_2024.childhood.Astrocyte/rs4460848_profile_position.png",4,220,900)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-0.0373908938</v>
      </c>
      <c r="G935" t="n">
        <v>0.3133004178216763</v>
      </c>
      <c r="H935" t="n">
        <v>0.0117764997291294</v>
      </c>
      <c r="I935" t="n">
        <v>0.5388503607739449</v>
      </c>
      <c r="J935" t="n">
        <v>0.0037103188233228</v>
      </c>
      <c r="K935" t="n">
        <v>0.8035842695591973</v>
      </c>
      <c r="L935" t="b">
        <v>0</v>
      </c>
      <c r="M935" t="b">
        <v>0</v>
      </c>
      <c r="N935" t="inlineStr">
        <is>
          <t>ref</t>
        </is>
      </c>
      <c r="O935" t="n">
        <v>-15</v>
      </c>
      <c r="P935" t="n">
        <v>0.001526</v>
      </c>
      <c r="Q935" t="n">
        <v>5</v>
      </c>
      <c r="R935" t="n">
        <v>0.01044</v>
      </c>
      <c r="S935">
        <f>IMAGE("https://mitra.stanford.edu/kundaje/oak/projects/neuro-variants/variant_position/credible/roussos_2024/variant_figures/roussos_2024.childhood.Astrocyte/rs74917517_count_position.png",4,220,900)</f>
        <v/>
      </c>
      <c r="T935">
        <f>IMAGE("https://mitra.stanford.edu/kundaje/oak/projects/neuro-variants/variant_position/credible/roussos_2024/variant_figures/roussos_2024.childhood.Astrocyte/rs74917517_profile_position.png",4,220,900)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-0.0156768428999999</v>
      </c>
      <c r="G936" t="n">
        <v>0.6151172231515727</v>
      </c>
      <c r="H936" t="n">
        <v>0.0413096147645722</v>
      </c>
      <c r="I936" t="n">
        <v>0.008476849056777499</v>
      </c>
      <c r="J936" t="n">
        <v>0.0060940517353239</v>
      </c>
      <c r="K936" t="n">
        <v>0.7526255086289064</v>
      </c>
      <c r="L936" t="b">
        <v>0</v>
      </c>
      <c r="M936" t="b">
        <v>0</v>
      </c>
      <c r="N936" t="inlineStr">
        <is>
          <t>ref</t>
        </is>
      </c>
      <c r="O936" t="n">
        <v>-25</v>
      </c>
      <c r="P936" t="n">
        <v>0.03247</v>
      </c>
      <c r="Q936" t="n">
        <v>-60</v>
      </c>
      <c r="R936" t="n">
        <v>0.03119</v>
      </c>
      <c r="S936">
        <f>IMAGE("https://mitra.stanford.edu/kundaje/oak/projects/neuro-variants/variant_position/credible/roussos_2024/variant_figures/roussos_2024.childhood.Astrocyte/rs74240770_count_position.png",4,220,900)</f>
        <v/>
      </c>
      <c r="T936">
        <f>IMAGE("https://mitra.stanford.edu/kundaje/oak/projects/neuro-variants/variant_position/credible/roussos_2024/variant_figures/roussos_2024.childhood.Astrocyte/rs74240770_profile_position.png",4,220,900)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-0.0300085922</v>
      </c>
      <c r="G937" t="n">
        <v>0.3988079609877996</v>
      </c>
      <c r="H937" t="n">
        <v>0.0487353317980902</v>
      </c>
      <c r="I937" t="n">
        <v>0.0044586425369248</v>
      </c>
      <c r="J937" t="n">
        <v>0.0113110912657522</v>
      </c>
      <c r="K937" t="n">
        <v>0.6772362687882901</v>
      </c>
      <c r="L937" t="b">
        <v>1</v>
      </c>
      <c r="M937" t="b">
        <v>0</v>
      </c>
      <c r="N937" t="inlineStr">
        <is>
          <t>ref</t>
        </is>
      </c>
      <c r="O937" t="n">
        <v>-50</v>
      </c>
      <c r="P937" t="n">
        <v>0.004257</v>
      </c>
      <c r="Q937" t="n">
        <v>-85</v>
      </c>
      <c r="R937" t="n">
        <v>0.0238</v>
      </c>
      <c r="S937">
        <f>IMAGE("https://mitra.stanford.edu/kundaje/oak/projects/neuro-variants/variant_position/credible/roussos_2024/variant_figures/roussos_2024.childhood.Astrocyte/rs1790134_count_position.png",4,220,900)</f>
        <v/>
      </c>
      <c r="T937">
        <f>IMAGE("https://mitra.stanford.edu/kundaje/oak/projects/neuro-variants/variant_position/credible/roussos_2024/variant_figures/roussos_2024.childhood.Astrocyte/rs1790134_profile_position.png",4,220,900)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-0.0232488986</v>
      </c>
      <c r="G938" t="n">
        <v>0.4829364988593311</v>
      </c>
      <c r="H938" t="n">
        <v>0.0102666855391812</v>
      </c>
      <c r="I938" t="n">
        <v>0.6595397691731167</v>
      </c>
      <c r="J938" t="n">
        <v>0.0070061749597367</v>
      </c>
      <c r="K938" t="n">
        <v>0.7419013274395988</v>
      </c>
      <c r="L938" t="b">
        <v>0</v>
      </c>
      <c r="M938" t="b">
        <v>0</v>
      </c>
      <c r="N938" t="inlineStr">
        <is>
          <t>ref</t>
        </is>
      </c>
      <c r="O938" t="n">
        <v>70</v>
      </c>
      <c r="P938" t="n">
        <v>0.004044</v>
      </c>
      <c r="Q938" t="n">
        <v>100</v>
      </c>
      <c r="R938" t="n">
        <v>0.1753</v>
      </c>
      <c r="S938">
        <f>IMAGE("https://mitra.stanford.edu/kundaje/oak/projects/neuro-variants/variant_position/credible/roussos_2024/variant_figures/roussos_2024.childhood.Astrocyte/rs1790133_count_position.png",4,220,900)</f>
        <v/>
      </c>
      <c r="T938">
        <f>IMAGE("https://mitra.stanford.edu/kundaje/oak/projects/neuro-variants/variant_position/credible/roussos_2024/variant_figures/roussos_2024.childhood.Astrocyte/rs1790133_profile_position.png",4,220,900)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-0.0948440532</v>
      </c>
      <c r="G939" t="n">
        <v>0.0816290949868706</v>
      </c>
      <c r="H939" t="n">
        <v>0.0128564296218873</v>
      </c>
      <c r="I939" t="n">
        <v>0.4451454940606184</v>
      </c>
      <c r="J939" t="n">
        <v>0.2847030447360185</v>
      </c>
      <c r="K939" t="n">
        <v>0.140857037303906</v>
      </c>
      <c r="L939" t="b">
        <v>0</v>
      </c>
      <c r="M939" t="b">
        <v>0</v>
      </c>
      <c r="N939" t="inlineStr">
        <is>
          <t>ref</t>
        </is>
      </c>
      <c r="O939" t="n">
        <v>100</v>
      </c>
      <c r="P939" t="n">
        <v>0.005917</v>
      </c>
      <c r="Q939" t="n">
        <v>10</v>
      </c>
      <c r="R939" t="n">
        <v>0.0007935</v>
      </c>
      <c r="S939">
        <f>IMAGE("https://mitra.stanford.edu/kundaje/oak/projects/neuro-variants/variant_position/credible/roussos_2024/variant_figures/roussos_2024.childhood.Astrocyte/rs1727331_count_position.png",4,220,900)</f>
        <v/>
      </c>
      <c r="T939">
        <f>IMAGE("https://mitra.stanford.edu/kundaje/oak/projects/neuro-variants/variant_position/credible/roussos_2024/variant_figures/roussos_2024.childhood.Astrocyte/rs1727331_profile_position.png",4,220,900)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0.0196846374</v>
      </c>
      <c r="G940" t="n">
        <v>0.5262982698883846</v>
      </c>
      <c r="H940" t="n">
        <v>0.0425259576802954</v>
      </c>
      <c r="I940" t="n">
        <v>0.0075531099578552</v>
      </c>
      <c r="J940" t="n">
        <v>0.1550647645653484</v>
      </c>
      <c r="K940" t="n">
        <v>0.2447698189834343</v>
      </c>
      <c r="L940" t="b">
        <v>1</v>
      </c>
      <c r="M940" t="b">
        <v>1</v>
      </c>
      <c r="N940" t="inlineStr">
        <is>
          <t>alt</t>
        </is>
      </c>
      <c r="O940" t="n">
        <v>-100</v>
      </c>
      <c r="P940" t="n">
        <v>0.0708</v>
      </c>
      <c r="Q940" t="n">
        <v>-100</v>
      </c>
      <c r="R940" t="n">
        <v>0.2874</v>
      </c>
      <c r="S940">
        <f>IMAGE("https://mitra.stanford.edu/kundaje/oak/projects/neuro-variants/variant_position/credible/roussos_2024/variant_figures/roussos_2024.childhood.Astrocyte/rs11554169_count_position.png",4,220,900)</f>
        <v/>
      </c>
      <c r="T940">
        <f>IMAGE("https://mitra.stanford.edu/kundaje/oak/projects/neuro-variants/variant_position/credible/roussos_2024/variant_figures/roussos_2024.childhood.Astrocyte/rs11554169_profile_position.png",4,220,900)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-0.2658533939999999</v>
      </c>
      <c r="G941" t="n">
        <v>0.008872827577213501</v>
      </c>
      <c r="H941" t="n">
        <v>0.0229845390648271</v>
      </c>
      <c r="I941" t="n">
        <v>0.0824718557379636</v>
      </c>
      <c r="J941" t="n">
        <v>0.331983848931022</v>
      </c>
      <c r="K941" t="n">
        <v>0.1180604455368845</v>
      </c>
      <c r="L941" t="b">
        <v>1</v>
      </c>
      <c r="M941" t="b">
        <v>1</v>
      </c>
      <c r="N941" t="inlineStr">
        <is>
          <t>ref</t>
        </is>
      </c>
      <c r="O941" t="n">
        <v>45</v>
      </c>
      <c r="P941" t="n">
        <v>0.003105</v>
      </c>
      <c r="Q941" t="n">
        <v>50</v>
      </c>
      <c r="R941" t="n">
        <v>0.09669999999999999</v>
      </c>
      <c r="S941">
        <f>IMAGE("https://mitra.stanford.edu/kundaje/oak/projects/neuro-variants/variant_position/credible/roussos_2024/variant_figures/roussos_2024.childhood.Astrocyte/rs1980251_count_position.png",4,220,900)</f>
        <v/>
      </c>
      <c r="T941">
        <f>IMAGE("https://mitra.stanford.edu/kundaje/oak/projects/neuro-variants/variant_position/credible/roussos_2024/variant_figures/roussos_2024.childhood.Astrocyte/rs1980251_profile_position.png",4,220,900)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0.032461273</v>
      </c>
      <c r="G942" t="n">
        <v>0.3445811153160346</v>
      </c>
      <c r="H942" t="n">
        <v>0.0142065158296004</v>
      </c>
      <c r="I942" t="n">
        <v>0.3418341522571653</v>
      </c>
      <c r="J942" t="n">
        <v>0.2694465434727851</v>
      </c>
      <c r="K942" t="n">
        <v>0.1528151035001732</v>
      </c>
      <c r="L942" t="b">
        <v>0</v>
      </c>
      <c r="M942" t="b">
        <v>0</v>
      </c>
      <c r="N942" t="inlineStr">
        <is>
          <t>alt</t>
        </is>
      </c>
      <c r="O942" t="n">
        <v>95</v>
      </c>
      <c r="P942" t="n">
        <v>0.03217</v>
      </c>
      <c r="Q942" t="n">
        <v>-85</v>
      </c>
      <c r="R942" t="n">
        <v>0.369</v>
      </c>
      <c r="S942">
        <f>IMAGE("https://mitra.stanford.edu/kundaje/oak/projects/neuro-variants/variant_position/credible/roussos_2024/variant_figures/roussos_2024.childhood.Astrocyte/rs78197735_count_position.png",4,220,900)</f>
        <v/>
      </c>
      <c r="T942">
        <f>IMAGE("https://mitra.stanford.edu/kundaje/oak/projects/neuro-variants/variant_position/credible/roussos_2024/variant_figures/roussos_2024.childhood.Astrocyte/rs78197735_profile_position.png",4,220,900)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0.0041327809999999</v>
      </c>
      <c r="G943" t="n">
        <v>0.1467922155066873</v>
      </c>
      <c r="H943" t="n">
        <v>0.0150903861506433</v>
      </c>
      <c r="I943" t="n">
        <v>0.3083302411928987</v>
      </c>
      <c r="J943" t="n">
        <v>0.6317930281727767</v>
      </c>
      <c r="K943" t="n">
        <v>0.0251427256324193</v>
      </c>
      <c r="L943" t="b">
        <v>0</v>
      </c>
      <c r="M943" t="b">
        <v>0</v>
      </c>
      <c r="N943" t="inlineStr">
        <is>
          <t>alt</t>
        </is>
      </c>
      <c r="O943" t="n">
        <v>100</v>
      </c>
      <c r="P943" t="n">
        <v>0.04156</v>
      </c>
      <c r="Q943" t="n">
        <v>100</v>
      </c>
      <c r="R943" t="n">
        <v>0.4062</v>
      </c>
      <c r="S943">
        <f>IMAGE("https://mitra.stanford.edu/kundaje/oak/projects/neuro-variants/variant_position/credible/roussos_2024/variant_figures/roussos_2024.childhood.Astrocyte/rs76514049_count_position.png",4,220,900)</f>
        <v/>
      </c>
      <c r="T943">
        <f>IMAGE("https://mitra.stanford.edu/kundaje/oak/projects/neuro-variants/variant_position/credible/roussos_2024/variant_figures/roussos_2024.childhood.Astrocyte/rs76514049_profile_position.png",4,220,900)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-0.0237112272</v>
      </c>
      <c r="G944" t="n">
        <v>0.3195974473206988</v>
      </c>
      <c r="H944" t="n">
        <v>0.0169752891714466</v>
      </c>
      <c r="I944" t="n">
        <v>0.2125680213101083</v>
      </c>
      <c r="J944" t="n">
        <v>0.1696602627220199</v>
      </c>
      <c r="K944" t="n">
        <v>0.234209997836209</v>
      </c>
      <c r="L944" t="b">
        <v>0</v>
      </c>
      <c r="M944" t="b">
        <v>0</v>
      </c>
      <c r="N944" t="inlineStr">
        <is>
          <t>ref</t>
        </is>
      </c>
      <c r="O944" t="n">
        <v>90</v>
      </c>
      <c r="P944" t="n">
        <v>0.0206</v>
      </c>
      <c r="Q944" t="n">
        <v>-75</v>
      </c>
      <c r="R944" t="n">
        <v>0.1874</v>
      </c>
      <c r="S944">
        <f>IMAGE("https://mitra.stanford.edu/kundaje/oak/projects/neuro-variants/variant_position/credible/roussos_2024/variant_figures/roussos_2024.childhood.Astrocyte/rs74240779_count_position.png",4,220,900)</f>
        <v/>
      </c>
      <c r="T944">
        <f>IMAGE("https://mitra.stanford.edu/kundaje/oak/projects/neuro-variants/variant_position/credible/roussos_2024/variant_figures/roussos_2024.childhood.Astrocyte/rs74240779_profile_position.png",4,220,900)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0.0289042572</v>
      </c>
      <c r="G945" t="n">
        <v>0.3940445013001277</v>
      </c>
      <c r="H945" t="n">
        <v>0.0604793795464964</v>
      </c>
      <c r="I945" t="n">
        <v>0.0019993134272102</v>
      </c>
      <c r="J945" t="n">
        <v>0.0206132215886972</v>
      </c>
      <c r="K945" t="n">
        <v>0.5873920496572769</v>
      </c>
      <c r="L945" t="b">
        <v>1</v>
      </c>
      <c r="M945" t="b">
        <v>0</v>
      </c>
      <c r="N945" t="inlineStr">
        <is>
          <t>alt</t>
        </is>
      </c>
      <c r="O945" t="n">
        <v>80</v>
      </c>
      <c r="P945" t="n">
        <v>0.007538</v>
      </c>
      <c r="Q945" t="n">
        <v>-75</v>
      </c>
      <c r="R945" t="n">
        <v>0.1218</v>
      </c>
      <c r="S945">
        <f>IMAGE("https://mitra.stanford.edu/kundaje/oak/projects/neuro-variants/variant_position/credible/roussos_2024/variant_figures/roussos_2024.childhood.Astrocyte/rs67382382_count_position.png",4,220,900)</f>
        <v/>
      </c>
      <c r="T945">
        <f>IMAGE("https://mitra.stanford.edu/kundaje/oak/projects/neuro-variants/variant_position/credible/roussos_2024/variant_figures/roussos_2024.childhood.Astrocyte/rs67382382_profile_position.png",4,220,900)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0.194184724</v>
      </c>
      <c r="G946" t="n">
        <v>0.0185468242654289</v>
      </c>
      <c r="H946" t="n">
        <v>0.0220588771339097</v>
      </c>
      <c r="I946" t="n">
        <v>0.09240986834463689</v>
      </c>
      <c r="J946" t="n">
        <v>0.0095257722516085</v>
      </c>
      <c r="K946" t="n">
        <v>0.7183105565456731</v>
      </c>
      <c r="L946" t="b">
        <v>1</v>
      </c>
      <c r="M946" t="b">
        <v>0</v>
      </c>
      <c r="N946" t="inlineStr">
        <is>
          <t>alt</t>
        </is>
      </c>
      <c r="O946" t="n">
        <v>95</v>
      </c>
      <c r="P946" t="n">
        <v>0.02902</v>
      </c>
      <c r="Q946" t="n">
        <v>85</v>
      </c>
      <c r="R946" t="n">
        <v>0.1451</v>
      </c>
      <c r="S946">
        <f>IMAGE("https://mitra.stanford.edu/kundaje/oak/projects/neuro-variants/variant_position/credible/roussos_2024/variant_figures/roussos_2024.childhood.Astrocyte/rs58537268_count_position.png",4,220,900)</f>
        <v/>
      </c>
      <c r="T946">
        <f>IMAGE("https://mitra.stanford.edu/kundaje/oak/projects/neuro-variants/variant_position/credible/roussos_2024/variant_figures/roussos_2024.childhood.Astrocyte/rs58537268_profile_position.png",4,220,900)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0.018809495</v>
      </c>
      <c r="G947" t="n">
        <v>0.532853303976227</v>
      </c>
      <c r="H947" t="n">
        <v>0.0422352459726697</v>
      </c>
      <c r="I947" t="n">
        <v>0.0077919725440618</v>
      </c>
      <c r="J947" t="n">
        <v>0.0020913955103691</v>
      </c>
      <c r="K947" t="n">
        <v>0.8545986551326972</v>
      </c>
      <c r="L947" t="b">
        <v>0</v>
      </c>
      <c r="M947" t="b">
        <v>0</v>
      </c>
      <c r="N947" t="inlineStr">
        <is>
          <t>alt</t>
        </is>
      </c>
      <c r="O947" t="n">
        <v>85</v>
      </c>
      <c r="P947" t="n">
        <v>0.02098</v>
      </c>
      <c r="Q947" t="n">
        <v>100</v>
      </c>
      <c r="R947" t="n">
        <v>0.231</v>
      </c>
      <c r="S947">
        <f>IMAGE("https://mitra.stanford.edu/kundaje/oak/projects/neuro-variants/variant_position/credible/roussos_2024/variant_figures/roussos_2024.childhood.Astrocyte/rs117741953_count_position.png",4,220,900)</f>
        <v/>
      </c>
      <c r="T947">
        <f>IMAGE("https://mitra.stanford.edu/kundaje/oak/projects/neuro-variants/variant_position/credible/roussos_2024/variant_figures/roussos_2024.childhood.Astrocyte/rs117741953_profile_position.png",4,220,900)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0.0426350598</v>
      </c>
      <c r="G948" t="n">
        <v>0.2694662801711307</v>
      </c>
      <c r="H948" t="n">
        <v>0.0154487138889217</v>
      </c>
      <c r="I948" t="n">
        <v>0.271953760596536</v>
      </c>
      <c r="J948" t="n">
        <v>0.0180188225595932</v>
      </c>
      <c r="K948" t="n">
        <v>0.6110388380070046</v>
      </c>
      <c r="L948" t="b">
        <v>0</v>
      </c>
      <c r="M948" t="b">
        <v>0</v>
      </c>
      <c r="N948" t="inlineStr">
        <is>
          <t>alt</t>
        </is>
      </c>
      <c r="O948" t="n">
        <v>30</v>
      </c>
      <c r="P948" t="n">
        <v>0.002762</v>
      </c>
      <c r="Q948" t="n">
        <v>0</v>
      </c>
      <c r="R948" t="n">
        <v>0</v>
      </c>
      <c r="S948">
        <f>IMAGE("https://mitra.stanford.edu/kundaje/oak/projects/neuro-variants/variant_position/credible/roussos_2024/variant_figures/roussos_2024.childhood.Astrocyte/rs57416942_count_position.png",4,220,900)</f>
        <v/>
      </c>
      <c r="T948">
        <f>IMAGE("https://mitra.stanford.edu/kundaje/oak/projects/neuro-variants/variant_position/credible/roussos_2024/variant_figures/roussos_2024.childhood.Astrocyte/rs57416942_profile_position.png",4,220,900)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0.0155183126</v>
      </c>
      <c r="G949" t="n">
        <v>0.3052889933044132</v>
      </c>
      <c r="H949" t="n">
        <v>0.0120636401038323</v>
      </c>
      <c r="I949" t="n">
        <v>0.5118091234547754</v>
      </c>
      <c r="J949" t="n">
        <v>0.0015502278399853</v>
      </c>
      <c r="K949" t="n">
        <v>0.8753261833048295</v>
      </c>
      <c r="L949" t="b">
        <v>0</v>
      </c>
      <c r="M949" t="b">
        <v>0</v>
      </c>
      <c r="N949" t="inlineStr">
        <is>
          <t>alt</t>
        </is>
      </c>
      <c r="O949" t="n">
        <v>20</v>
      </c>
      <c r="P949" t="n">
        <v>0.01942</v>
      </c>
      <c r="Q949" t="n">
        <v>-70</v>
      </c>
      <c r="R949" t="n">
        <v>0.05353</v>
      </c>
      <c r="S949">
        <f>IMAGE("https://mitra.stanford.edu/kundaje/oak/projects/neuro-variants/variant_position/credible/roussos_2024/variant_figures/roussos_2024.childhood.Astrocyte/rs75225286_count_position.png",4,220,900)</f>
        <v/>
      </c>
      <c r="T949">
        <f>IMAGE("https://mitra.stanford.edu/kundaje/oak/projects/neuro-variants/variant_position/credible/roussos_2024/variant_figures/roussos_2024.childhood.Astrocyte/rs75225286_profile_position.png",4,220,900)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0.0373669644</v>
      </c>
      <c r="G950" t="n">
        <v>0.3132232449866956</v>
      </c>
      <c r="H950" t="n">
        <v>0.0139705869236343</v>
      </c>
      <c r="I950" t="n">
        <v>0.3632356283991058</v>
      </c>
      <c r="J950" t="n">
        <v>0.1121362002244051</v>
      </c>
      <c r="K950" t="n">
        <v>0.3037628329019713</v>
      </c>
      <c r="L950" t="b">
        <v>0</v>
      </c>
      <c r="M950" t="b">
        <v>0</v>
      </c>
      <c r="N950" t="inlineStr">
        <is>
          <t>alt</t>
        </is>
      </c>
      <c r="O950" t="n">
        <v>-100</v>
      </c>
      <c r="P950" t="n">
        <v>0.004528</v>
      </c>
      <c r="Q950" t="n">
        <v>-20</v>
      </c>
      <c r="R950" t="n">
        <v>0.062</v>
      </c>
      <c r="S950">
        <f>IMAGE("https://mitra.stanford.edu/kundaje/oak/projects/neuro-variants/variant_position/credible/roussos_2024/variant_figures/roussos_2024.childhood.Astrocyte/rs10846519_count_position.png",4,220,900)</f>
        <v/>
      </c>
      <c r="T950">
        <f>IMAGE("https://mitra.stanford.edu/kundaje/oak/projects/neuro-variants/variant_position/credible/roussos_2024/variant_figures/roussos_2024.childhood.Astrocyte/rs10846519_profile_position.png",4,220,900)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-0.1058216</v>
      </c>
      <c r="G951" t="n">
        <v>0.06409583051770421</v>
      </c>
      <c r="H951" t="n">
        <v>0.0132614332763086</v>
      </c>
      <c r="I951" t="n">
        <v>0.4117655340041902</v>
      </c>
      <c r="J951" t="n">
        <v>0.1157358430079457</v>
      </c>
      <c r="K951" t="n">
        <v>0.3212338448248822</v>
      </c>
      <c r="L951" t="b">
        <v>0</v>
      </c>
      <c r="M951" t="b">
        <v>0</v>
      </c>
      <c r="N951" t="inlineStr">
        <is>
          <t>ref</t>
        </is>
      </c>
      <c r="O951" t="n">
        <v>10</v>
      </c>
      <c r="P951" t="n">
        <v>0.000931</v>
      </c>
      <c r="Q951" t="n">
        <v>75</v>
      </c>
      <c r="R951" t="n">
        <v>0.2084</v>
      </c>
      <c r="S951">
        <f>IMAGE("https://mitra.stanford.edu/kundaje/oak/projects/neuro-variants/variant_position/credible/roussos_2024/variant_figures/roussos_2024.childhood.Astrocyte/rs7486223_count_position.png",4,220,900)</f>
        <v/>
      </c>
      <c r="T951">
        <f>IMAGE("https://mitra.stanford.edu/kundaje/oak/projects/neuro-variants/variant_position/credible/roussos_2024/variant_figures/roussos_2024.childhood.Astrocyte/rs7486223_profile_position.png",4,220,900)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0.01025792972</v>
      </c>
      <c r="G952" t="n">
        <v>0.6475054763057451</v>
      </c>
      <c r="H952" t="n">
        <v>0.036035112849654</v>
      </c>
      <c r="I952" t="n">
        <v>0.0144820744033649</v>
      </c>
      <c r="J952" t="n">
        <v>0.0213932968484043</v>
      </c>
      <c r="K952" t="n">
        <v>0.5812699457386638</v>
      </c>
      <c r="L952" t="b">
        <v>1</v>
      </c>
      <c r="M952" t="b">
        <v>0</v>
      </c>
      <c r="N952" t="inlineStr">
        <is>
          <t>alt</t>
        </is>
      </c>
      <c r="O952" t="n">
        <v>50</v>
      </c>
      <c r="P952" t="n">
        <v>0.02605</v>
      </c>
      <c r="Q952" t="n">
        <v>100</v>
      </c>
      <c r="R952" t="n">
        <v>0.05472</v>
      </c>
      <c r="S952">
        <f>IMAGE("https://mitra.stanford.edu/kundaje/oak/projects/neuro-variants/variant_position/credible/roussos_2024/variant_figures/roussos_2024.childhood.Astrocyte/rs7952835_count_position.png",4,220,900)</f>
        <v/>
      </c>
      <c r="T952">
        <f>IMAGE("https://mitra.stanford.edu/kundaje/oak/projects/neuro-variants/variant_position/credible/roussos_2024/variant_figures/roussos_2024.childhood.Astrocyte/rs7952835_profile_position.png",4,220,900)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0.1061778979999999</v>
      </c>
      <c r="G953" t="n">
        <v>0.0609045746730386</v>
      </c>
      <c r="H953" t="n">
        <v>0.015311006798877</v>
      </c>
      <c r="I953" t="n">
        <v>0.2823610242815098</v>
      </c>
      <c r="J953" t="n">
        <v>0.0652385641119583</v>
      </c>
      <c r="K953" t="n">
        <v>0.4059238631817881</v>
      </c>
      <c r="L953" t="b">
        <v>0</v>
      </c>
      <c r="M953" t="b">
        <v>0</v>
      </c>
      <c r="N953" t="inlineStr">
        <is>
          <t>alt</t>
        </is>
      </c>
      <c r="O953" t="n">
        <v>-30</v>
      </c>
      <c r="P953" t="n">
        <v>0.00586</v>
      </c>
      <c r="Q953" t="n">
        <v>-65</v>
      </c>
      <c r="R953" t="n">
        <v>0.02992</v>
      </c>
      <c r="S953">
        <f>IMAGE("https://mitra.stanford.edu/kundaje/oak/projects/neuro-variants/variant_position/credible/roussos_2024/variant_figures/roussos_2024.childhood.Astrocyte/rs7962723_count_position.png",4,220,900)</f>
        <v/>
      </c>
      <c r="T953">
        <f>IMAGE("https://mitra.stanford.edu/kundaje/oak/projects/neuro-variants/variant_position/credible/roussos_2024/variant_figures/roussos_2024.childhood.Astrocyte/rs7962723_profile_position.png",4,220,900)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0.0542716352</v>
      </c>
      <c r="G954" t="n">
        <v>0.1875465054348387</v>
      </c>
      <c r="H954" t="n">
        <v>0.0153562070003467</v>
      </c>
      <c r="I954" t="n">
        <v>0.2887135102263576</v>
      </c>
      <c r="J954" t="n">
        <v>0.0478067062047277</v>
      </c>
      <c r="K954" t="n">
        <v>0.4566679913245763</v>
      </c>
      <c r="L954" t="b">
        <v>0</v>
      </c>
      <c r="M954" t="b">
        <v>0</v>
      </c>
      <c r="N954" t="inlineStr">
        <is>
          <t>alt</t>
        </is>
      </c>
      <c r="O954" t="n">
        <v>-40</v>
      </c>
      <c r="P954" t="n">
        <v>0.013916</v>
      </c>
      <c r="Q954" t="n">
        <v>-40</v>
      </c>
      <c r="R954" t="n">
        <v>0.0825</v>
      </c>
      <c r="S954">
        <f>IMAGE("https://mitra.stanford.edu/kundaje/oak/projects/neuro-variants/variant_position/credible/roussos_2024/variant_figures/roussos_2024.childhood.Astrocyte/rs10773011_count_position.png",4,220,900)</f>
        <v/>
      </c>
      <c r="T954">
        <f>IMAGE("https://mitra.stanford.edu/kundaje/oak/projects/neuro-variants/variant_position/credible/roussos_2024/variant_figures/roussos_2024.childhood.Astrocyte/rs10773011_profile_position.png",4,220,900)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0.01564190294</v>
      </c>
      <c r="G955" t="n">
        <v>0.6056497817395726</v>
      </c>
      <c r="H955" t="n">
        <v>0.0199512961231313</v>
      </c>
      <c r="I955" t="n">
        <v>0.1255687424629086</v>
      </c>
      <c r="J955" t="n">
        <v>0.0308854846465617</v>
      </c>
      <c r="K955" t="n">
        <v>0.5263361763890578</v>
      </c>
      <c r="L955" t="b">
        <v>0</v>
      </c>
      <c r="M955" t="b">
        <v>0</v>
      </c>
      <c r="N955" t="inlineStr">
        <is>
          <t>alt</t>
        </is>
      </c>
      <c r="O955" t="n">
        <v>15</v>
      </c>
      <c r="P955" t="n">
        <v>0.00908</v>
      </c>
      <c r="Q955" t="n">
        <v>90</v>
      </c>
      <c r="R955" t="n">
        <v>0.12006</v>
      </c>
      <c r="S955">
        <f>IMAGE("https://mitra.stanford.edu/kundaje/oak/projects/neuro-variants/variant_position/credible/roussos_2024/variant_figures/roussos_2024.childhood.Astrocyte/rs9300256_count_position.png",4,220,900)</f>
        <v/>
      </c>
      <c r="T955">
        <f>IMAGE("https://mitra.stanford.edu/kundaje/oak/projects/neuro-variants/variant_position/credible/roussos_2024/variant_figures/roussos_2024.childhood.Astrocyte/rs9300256_profile_position.png",4,220,900)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-0.1141436546</v>
      </c>
      <c r="G956" t="n">
        <v>0.0601802773196042</v>
      </c>
      <c r="H956" t="n">
        <v>0.0269648590508172</v>
      </c>
      <c r="I956" t="n">
        <v>0.0482461470600499</v>
      </c>
      <c r="J956" t="n">
        <v>0.006419973590407</v>
      </c>
      <c r="K956" t="n">
        <v>0.7461845517864989</v>
      </c>
      <c r="L956" t="b">
        <v>0</v>
      </c>
      <c r="M956" t="b">
        <v>0</v>
      </c>
      <c r="N956" t="inlineStr">
        <is>
          <t>ref</t>
        </is>
      </c>
      <c r="O956" t="n">
        <v>10</v>
      </c>
      <c r="P956" t="n">
        <v>0.0007324</v>
      </c>
      <c r="Q956" t="n">
        <v>0</v>
      </c>
      <c r="R956" t="n">
        <v>0</v>
      </c>
      <c r="S956">
        <f>IMAGE("https://mitra.stanford.edu/kundaje/oak/projects/neuro-variants/variant_position/credible/roussos_2024/variant_figures/roussos_2024.childhood.Astrocyte/rs10773016_count_position.png",4,220,900)</f>
        <v/>
      </c>
      <c r="T956">
        <f>IMAGE("https://mitra.stanford.edu/kundaje/oak/projects/neuro-variants/variant_position/credible/roussos_2024/variant_figures/roussos_2024.childhood.Astrocyte/rs10773016_profile_position.png",4,220,900)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-0.01991449354</v>
      </c>
      <c r="G957" t="n">
        <v>0.5350087522719559</v>
      </c>
      <c r="H957" t="n">
        <v>0.0094518641794386</v>
      </c>
      <c r="I957" t="n">
        <v>0.757784895383819</v>
      </c>
      <c r="J957" t="n">
        <v>0.2897712440750154</v>
      </c>
      <c r="K957" t="n">
        <v>0.1377827120975571</v>
      </c>
      <c r="L957" t="b">
        <v>0</v>
      </c>
      <c r="M957" t="b">
        <v>0</v>
      </c>
      <c r="N957" t="inlineStr">
        <is>
          <t>ref</t>
        </is>
      </c>
      <c r="O957" t="n">
        <v>-100</v>
      </c>
      <c r="P957" t="n">
        <v>0.0433</v>
      </c>
      <c r="Q957" t="n">
        <v>-100</v>
      </c>
      <c r="R957" t="n">
        <v>0.4175</v>
      </c>
      <c r="S957">
        <f>IMAGE("https://mitra.stanford.edu/kundaje/oak/projects/neuro-variants/variant_position/credible/roussos_2024/variant_figures/roussos_2024.childhood.Astrocyte/rs4930723_count_position.png",4,220,900)</f>
        <v/>
      </c>
      <c r="T957">
        <f>IMAGE("https://mitra.stanford.edu/kundaje/oak/projects/neuro-variants/variant_position/credible/roussos_2024/variant_figures/roussos_2024.childhood.Astrocyte/rs4930723_profile_position.png",4,220,900)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-0.005584055492</v>
      </c>
      <c r="G958" t="n">
        <v>0.7790405987572823</v>
      </c>
      <c r="H958" t="n">
        <v>0.0150201337237871</v>
      </c>
      <c r="I958" t="n">
        <v>0.2982750245195536</v>
      </c>
      <c r="J958" t="n">
        <v>0.3822758046911375</v>
      </c>
      <c r="K958" t="n">
        <v>0.0941243029525041</v>
      </c>
      <c r="L958" t="b">
        <v>0</v>
      </c>
      <c r="M958" t="b">
        <v>0</v>
      </c>
      <c r="N958" t="inlineStr">
        <is>
          <t>ref</t>
        </is>
      </c>
      <c r="O958" t="n">
        <v>100</v>
      </c>
      <c r="P958" t="n">
        <v>0.03137</v>
      </c>
      <c r="Q958" t="n">
        <v>100</v>
      </c>
      <c r="R958" t="n">
        <v>0.1185</v>
      </c>
      <c r="S958">
        <f>IMAGE("https://mitra.stanford.edu/kundaje/oak/projects/neuro-variants/variant_position/credible/roussos_2024/variant_figures/roussos_2024.childhood.Astrocyte/rs4930726_count_position.png",4,220,900)</f>
        <v/>
      </c>
      <c r="T958">
        <f>IMAGE("https://mitra.stanford.edu/kundaje/oak/projects/neuro-variants/variant_position/credible/roussos_2024/variant_figures/roussos_2024.childhood.Astrocyte/rs4930726_profile_position.png",4,220,900)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-0.0100942865199999</v>
      </c>
      <c r="G959" t="n">
        <v>0.4809426672443805</v>
      </c>
      <c r="H959" t="n">
        <v>0.0207418018758511</v>
      </c>
      <c r="I959" t="n">
        <v>0.1109212970086454</v>
      </c>
      <c r="J959" t="n">
        <v>0.1477853342798042</v>
      </c>
      <c r="K959" t="n">
        <v>0.2544798106419194</v>
      </c>
      <c r="L959" t="b">
        <v>0</v>
      </c>
      <c r="M959" t="b">
        <v>0</v>
      </c>
      <c r="N959" t="inlineStr">
        <is>
          <t>ref</t>
        </is>
      </c>
      <c r="O959" t="n">
        <v>-45</v>
      </c>
      <c r="P959" t="n">
        <v>0.001373</v>
      </c>
      <c r="Q959" t="n">
        <v>-50</v>
      </c>
      <c r="R959" t="n">
        <v>0.05908</v>
      </c>
      <c r="S959">
        <f>IMAGE("https://mitra.stanford.edu/kundaje/oak/projects/neuro-variants/variant_position/credible/roussos_2024/variant_figures/roussos_2024.childhood.Astrocyte/rs7312404_count_position.png",4,220,900)</f>
        <v/>
      </c>
      <c r="T959">
        <f>IMAGE("https://mitra.stanford.edu/kundaje/oak/projects/neuro-variants/variant_position/credible/roussos_2024/variant_figures/roussos_2024.childhood.Astrocyte/rs7312404_profile_position.png",4,220,900)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-0.0320072046</v>
      </c>
      <c r="G960" t="n">
        <v>0.3688495881913229</v>
      </c>
      <c r="H960" t="n">
        <v>0.0362047269460082</v>
      </c>
      <c r="I960" t="n">
        <v>0.014431181789605</v>
      </c>
      <c r="J960" t="n">
        <v>0.0531229725294436</v>
      </c>
      <c r="K960" t="n">
        <v>0.4351821640600954</v>
      </c>
      <c r="L960" t="b">
        <v>1</v>
      </c>
      <c r="M960" t="b">
        <v>0</v>
      </c>
      <c r="N960" t="inlineStr">
        <is>
          <t>ref</t>
        </is>
      </c>
      <c r="O960" t="n">
        <v>-35</v>
      </c>
      <c r="P960" t="n">
        <v>0.002625</v>
      </c>
      <c r="Q960" t="n">
        <v>65</v>
      </c>
      <c r="R960" t="n">
        <v>0.04333</v>
      </c>
      <c r="S960">
        <f>IMAGE("https://mitra.stanford.edu/kundaje/oak/projects/neuro-variants/variant_position/credible/roussos_2024/variant_figures/roussos_2024.childhood.Astrocyte/rs7134121_count_position.png",4,220,900)</f>
        <v/>
      </c>
      <c r="T960">
        <f>IMAGE("https://mitra.stanford.edu/kundaje/oak/projects/neuro-variants/variant_position/credible/roussos_2024/variant_figures/roussos_2024.childhood.Astrocyte/rs7134121_profile_position.png",4,220,900)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-0.0809060235999999</v>
      </c>
      <c r="G961" t="n">
        <v>0.1090769258446783</v>
      </c>
      <c r="H961" t="n">
        <v>0.0135922149571732</v>
      </c>
      <c r="I961" t="n">
        <v>0.3785815919970645</v>
      </c>
      <c r="J961" t="n">
        <v>0.0592231305290314</v>
      </c>
      <c r="K961" t="n">
        <v>0.4544772787861343</v>
      </c>
      <c r="L961" t="b">
        <v>0</v>
      </c>
      <c r="M961" t="b">
        <v>0</v>
      </c>
      <c r="N961" t="inlineStr">
        <is>
          <t>ref</t>
        </is>
      </c>
      <c r="O961" t="n">
        <v>-75</v>
      </c>
      <c r="P961" t="n">
        <v>0.007687</v>
      </c>
      <c r="Q961" t="n">
        <v>-85</v>
      </c>
      <c r="R961" t="n">
        <v>0.154</v>
      </c>
      <c r="S961">
        <f>IMAGE("https://mitra.stanford.edu/kundaje/oak/projects/neuro-variants/variant_position/credible/roussos_2024/variant_figures/roussos_2024.childhood.Astrocyte/rs35099862_count_position.png",4,220,900)</f>
        <v/>
      </c>
      <c r="T961">
        <f>IMAGE("https://mitra.stanford.edu/kundaje/oak/projects/neuro-variants/variant_position/credible/roussos_2024/variant_figures/roussos_2024.childhood.Astrocyte/rs35099862_profile_position.png",4,220,900)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-0.130597574</v>
      </c>
      <c r="G962" t="n">
        <v>0.0567011054349533</v>
      </c>
      <c r="H962" t="n">
        <v>0.0236757133234487</v>
      </c>
      <c r="I962" t="n">
        <v>0.0733829653319082</v>
      </c>
      <c r="J962" t="n">
        <v>0.3602848572279087</v>
      </c>
      <c r="K962" t="n">
        <v>0.1014667785284459</v>
      </c>
      <c r="L962" t="b">
        <v>0</v>
      </c>
      <c r="M962" t="b">
        <v>0</v>
      </c>
      <c r="N962" t="inlineStr">
        <is>
          <t>ref</t>
        </is>
      </c>
      <c r="O962" t="n">
        <v>-55</v>
      </c>
      <c r="P962" t="n">
        <v>0.006348</v>
      </c>
      <c r="Q962" t="n">
        <v>-25</v>
      </c>
      <c r="R962" t="n">
        <v>0.008789999999999999</v>
      </c>
      <c r="S962">
        <f>IMAGE("https://mitra.stanford.edu/kundaje/oak/projects/neuro-variants/variant_position/credible/roussos_2024/variant_figures/roussos_2024.childhood.Astrocyte/rs7978610_count_position.png",4,220,900)</f>
        <v/>
      </c>
      <c r="T962">
        <f>IMAGE("https://mitra.stanford.edu/kundaje/oak/projects/neuro-variants/variant_position/credible/roussos_2024/variant_figures/roussos_2024.childhood.Astrocyte/rs7978610_profile_position.png",4,220,900)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0.01178884604</v>
      </c>
      <c r="G963" t="n">
        <v>0.6683958992004151</v>
      </c>
      <c r="H963" t="n">
        <v>0.0381426342577615</v>
      </c>
      <c r="I963" t="n">
        <v>0.0115623292131967</v>
      </c>
      <c r="J963" t="n">
        <v>0.0226840084571759</v>
      </c>
      <c r="K963" t="n">
        <v>0.5727166649962188</v>
      </c>
      <c r="L963" t="b">
        <v>1</v>
      </c>
      <c r="M963" t="b">
        <v>0</v>
      </c>
      <c r="N963" t="inlineStr">
        <is>
          <t>alt</t>
        </is>
      </c>
      <c r="O963" t="n">
        <v>70</v>
      </c>
      <c r="P963" t="n">
        <v>0.003021</v>
      </c>
      <c r="Q963" t="n">
        <v>60</v>
      </c>
      <c r="R963" t="n">
        <v>0.1477</v>
      </c>
      <c r="S963">
        <f>IMAGE("https://mitra.stanford.edu/kundaje/oak/projects/neuro-variants/variant_position/credible/roussos_2024/variant_figures/roussos_2024.childhood.Astrocyte/rs11837287_count_position.png",4,220,900)</f>
        <v/>
      </c>
      <c r="T963">
        <f>IMAGE("https://mitra.stanford.edu/kundaje/oak/projects/neuro-variants/variant_position/credible/roussos_2024/variant_figures/roussos_2024.childhood.Astrocyte/rs11837287_profile_position.png",4,220,900)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-0.0049111096</v>
      </c>
      <c r="G964" t="n">
        <v>0.5913070434928419</v>
      </c>
      <c r="H964" t="n">
        <v>0.0146336371424117</v>
      </c>
      <c r="I964" t="n">
        <v>0.3203990107584788</v>
      </c>
      <c r="J964" t="n">
        <v>0.0635188874386511</v>
      </c>
      <c r="K964" t="n">
        <v>0.4197428452171196</v>
      </c>
      <c r="L964" t="b">
        <v>0</v>
      </c>
      <c r="M964" t="b">
        <v>0</v>
      </c>
      <c r="N964" t="inlineStr">
        <is>
          <t>ref</t>
        </is>
      </c>
      <c r="O964" t="n">
        <v>-5</v>
      </c>
      <c r="P964" t="n">
        <v>0.0009117</v>
      </c>
      <c r="Q964" t="n">
        <v>40</v>
      </c>
      <c r="R964" t="n">
        <v>0.11035</v>
      </c>
      <c r="S964">
        <f>IMAGE("https://mitra.stanford.edu/kundaje/oak/projects/neuro-variants/variant_position/credible/roussos_2024/variant_figures/roussos_2024.childhood.Astrocyte/rs7307277_count_position.png",4,220,900)</f>
        <v/>
      </c>
      <c r="T964">
        <f>IMAGE("https://mitra.stanford.edu/kundaje/oak/projects/neuro-variants/variant_position/credible/roussos_2024/variant_figures/roussos_2024.childhood.Astrocyte/rs7307277_profile_position.png",4,220,900)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-0.3592350079999999</v>
      </c>
      <c r="G965" t="n">
        <v>0.0035933382017007</v>
      </c>
      <c r="H965" t="n">
        <v>0.07096271026316429</v>
      </c>
      <c r="I965" t="n">
        <v>0.0013230180665831</v>
      </c>
      <c r="J965" t="n">
        <v>0.4163731843404853</v>
      </c>
      <c r="K965" t="n">
        <v>0.0815057007877905</v>
      </c>
      <c r="L965" t="b">
        <v>1</v>
      </c>
      <c r="M965" t="b">
        <v>1</v>
      </c>
      <c r="N965" t="inlineStr">
        <is>
          <t>ref</t>
        </is>
      </c>
      <c r="O965" t="n">
        <v>50</v>
      </c>
      <c r="P965" t="n">
        <v>0.00476</v>
      </c>
      <c r="Q965" t="n">
        <v>65</v>
      </c>
      <c r="R965" t="n">
        <v>0.10986</v>
      </c>
      <c r="S965">
        <f>IMAGE("https://mitra.stanford.edu/kundaje/oak/projects/neuro-variants/variant_position/credible/roussos_2024/variant_figures/roussos_2024.childhood.Astrocyte/rs12833624_count_position.png",4,220,900)</f>
        <v/>
      </c>
      <c r="T965">
        <f>IMAGE("https://mitra.stanford.edu/kundaje/oak/projects/neuro-variants/variant_position/credible/roussos_2024/variant_figures/roussos_2024.childhood.Astrocyte/rs12833624_profile_position.png",4,220,900)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-0.1765574379999999</v>
      </c>
      <c r="G966" t="n">
        <v>0.0221501106809443</v>
      </c>
      <c r="H966" t="n">
        <v>0.0297243659069662</v>
      </c>
      <c r="I966" t="n">
        <v>0.0338461625969377</v>
      </c>
      <c r="J966" t="n">
        <v>0.1674200270202193</v>
      </c>
      <c r="K966" t="n">
        <v>0.2402744710271235</v>
      </c>
      <c r="L966" t="b">
        <v>0</v>
      </c>
      <c r="M966" t="b">
        <v>0</v>
      </c>
      <c r="N966" t="inlineStr">
        <is>
          <t>ref</t>
        </is>
      </c>
      <c r="O966" t="n">
        <v>-95</v>
      </c>
      <c r="P966" t="n">
        <v>0.01715</v>
      </c>
      <c r="Q966" t="n">
        <v>-95</v>
      </c>
      <c r="R966" t="n">
        <v>0.173</v>
      </c>
      <c r="S966">
        <f>IMAGE("https://mitra.stanford.edu/kundaje/oak/projects/neuro-variants/variant_position/credible/roussos_2024/variant_figures/roussos_2024.childhood.Astrocyte/rs34114498_count_position.png",4,220,900)</f>
        <v/>
      </c>
      <c r="T966">
        <f>IMAGE("https://mitra.stanford.edu/kundaje/oak/projects/neuro-variants/variant_position/credible/roussos_2024/variant_figures/roussos_2024.childhood.Astrocyte/rs34114498_profile_position.png",4,220,900)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-0.0097804685</v>
      </c>
      <c r="G967" t="n">
        <v>0.7040948431860145</v>
      </c>
      <c r="H967" t="n">
        <v>0.01098615662891</v>
      </c>
      <c r="I967" t="n">
        <v>0.6061962035965796</v>
      </c>
      <c r="J967" t="n">
        <v>0.2414073412562111</v>
      </c>
      <c r="K967" t="n">
        <v>0.1711282000169478</v>
      </c>
      <c r="L967" t="b">
        <v>0</v>
      </c>
      <c r="M967" t="b">
        <v>0</v>
      </c>
      <c r="N967" t="inlineStr">
        <is>
          <t>ref</t>
        </is>
      </c>
      <c r="O967" t="n">
        <v>-100</v>
      </c>
      <c r="P967" t="n">
        <v>0.00602</v>
      </c>
      <c r="Q967" t="n">
        <v>100</v>
      </c>
      <c r="R967" t="n">
        <v>0.1486</v>
      </c>
      <c r="S967">
        <f>IMAGE("https://mitra.stanford.edu/kundaje/oak/projects/neuro-variants/variant_position/credible/roussos_2024/variant_figures/roussos_2024.childhood.Astrocyte/rs12303671_count_position.png",4,220,900)</f>
        <v/>
      </c>
      <c r="T967">
        <f>IMAGE("https://mitra.stanford.edu/kundaje/oak/projects/neuro-variants/variant_position/credible/roussos_2024/variant_figures/roussos_2024.childhood.Astrocyte/rs12303671_profile_position.png",4,220,900)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-0.07468795319999991</v>
      </c>
      <c r="G968" t="n">
        <v>0.1326208860737105</v>
      </c>
      <c r="H968" t="n">
        <v>0.0109067215370787</v>
      </c>
      <c r="I968" t="n">
        <v>0.6180404341180389</v>
      </c>
      <c r="J968" t="n">
        <v>0.0046354178592963</v>
      </c>
      <c r="K968" t="n">
        <v>0.782650314404427</v>
      </c>
      <c r="L968" t="b">
        <v>0</v>
      </c>
      <c r="M968" t="b">
        <v>0</v>
      </c>
      <c r="N968" t="inlineStr">
        <is>
          <t>ref</t>
        </is>
      </c>
      <c r="O968" t="n">
        <v>-35</v>
      </c>
      <c r="P968" t="n">
        <v>0.01572</v>
      </c>
      <c r="Q968" t="n">
        <v>-70</v>
      </c>
      <c r="R968" t="n">
        <v>0.0477</v>
      </c>
      <c r="S968">
        <f>IMAGE("https://mitra.stanford.edu/kundaje/oak/projects/neuro-variants/variant_position/credible/roussos_2024/variant_figures/roussos_2024.childhood.Astrocyte/rs7992065_count_position.png",4,220,900)</f>
        <v/>
      </c>
      <c r="T968">
        <f>IMAGE("https://mitra.stanford.edu/kundaje/oak/projects/neuro-variants/variant_position/credible/roussos_2024/variant_figures/roussos_2024.childhood.Astrocyte/rs7992065_profile_position.png",4,220,900)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-0.00872430008</v>
      </c>
      <c r="G969" t="n">
        <v>0.5452008535178299</v>
      </c>
      <c r="H969" t="n">
        <v>0.0252549840338855</v>
      </c>
      <c r="I969" t="n">
        <v>0.0572506067504589</v>
      </c>
      <c r="J969" t="n">
        <v>0.0278468548922625</v>
      </c>
      <c r="K969" t="n">
        <v>0.5523886278926127</v>
      </c>
      <c r="L969" t="b">
        <v>0</v>
      </c>
      <c r="M969" t="b">
        <v>0</v>
      </c>
      <c r="N969" t="inlineStr">
        <is>
          <t>ref</t>
        </is>
      </c>
      <c r="O969" t="n">
        <v>-60</v>
      </c>
      <c r="P969" t="n">
        <v>0.02103</v>
      </c>
      <c r="Q969" t="n">
        <v>-60</v>
      </c>
      <c r="R969" t="n">
        <v>0.0426</v>
      </c>
      <c r="S969">
        <f>IMAGE("https://mitra.stanford.edu/kundaje/oak/projects/neuro-variants/variant_position/credible/roussos_2024/variant_figures/roussos_2024.childhood.Astrocyte/rs9567419_count_position.png",4,220,900)</f>
        <v/>
      </c>
      <c r="T969">
        <f>IMAGE("https://mitra.stanford.edu/kundaje/oak/projects/neuro-variants/variant_position/credible/roussos_2024/variant_figures/roussos_2024.childhood.Astrocyte/rs9567419_profile_position.png",4,220,900)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0.088417573</v>
      </c>
      <c r="G970" t="n">
        <v>0.0851235059267009</v>
      </c>
      <c r="H970" t="n">
        <v>0.0128472466031342</v>
      </c>
      <c r="I970" t="n">
        <v>0.4439099413372784</v>
      </c>
      <c r="J970" t="n">
        <v>0.0396472105821559</v>
      </c>
      <c r="K970" t="n">
        <v>0.4932292553639283</v>
      </c>
      <c r="L970" t="b">
        <v>0</v>
      </c>
      <c r="M970" t="b">
        <v>0</v>
      </c>
      <c r="N970" t="inlineStr">
        <is>
          <t>alt</t>
        </is>
      </c>
      <c r="O970" t="n">
        <v>100</v>
      </c>
      <c r="P970" t="n">
        <v>0.02634</v>
      </c>
      <c r="Q970" t="n">
        <v>-90</v>
      </c>
      <c r="R970" t="n">
        <v>0.1162</v>
      </c>
      <c r="S970">
        <f>IMAGE("https://mitra.stanford.edu/kundaje/oak/projects/neuro-variants/variant_position/credible/roussos_2024/variant_figures/roussos_2024.childhood.Astrocyte/rs9567420_count_position.png",4,220,900)</f>
        <v/>
      </c>
      <c r="T970">
        <f>IMAGE("https://mitra.stanford.edu/kundaje/oak/projects/neuro-variants/variant_position/credible/roussos_2024/variant_figures/roussos_2024.childhood.Astrocyte/rs9567420_profile_position.png",4,220,900)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-0.0734807277999999</v>
      </c>
      <c r="G971" t="n">
        <v>0.0591983427896659</v>
      </c>
      <c r="H971" t="n">
        <v>0.0240512856357182</v>
      </c>
      <c r="I971" t="n">
        <v>0.0718892790153864</v>
      </c>
      <c r="J971" t="n">
        <v>0.0447169364872188</v>
      </c>
      <c r="K971" t="n">
        <v>0.4686471365136863</v>
      </c>
      <c r="L971" t="b">
        <v>0</v>
      </c>
      <c r="M971" t="b">
        <v>0</v>
      </c>
      <c r="N971" t="inlineStr">
        <is>
          <t>ref</t>
        </is>
      </c>
      <c r="O971" t="n">
        <v>70</v>
      </c>
      <c r="P971" t="n">
        <v>0.0379</v>
      </c>
      <c r="Q971" t="n">
        <v>-95</v>
      </c>
      <c r="R971" t="n">
        <v>0.2174</v>
      </c>
      <c r="S971">
        <f>IMAGE("https://mitra.stanford.edu/kundaje/oak/projects/neuro-variants/variant_position/credible/roussos_2024/variant_figures/roussos_2024.childhood.Astrocyte/rs61750791_count_position.png",4,220,900)</f>
        <v/>
      </c>
      <c r="T971">
        <f>IMAGE("https://mitra.stanford.edu/kundaje/oak/projects/neuro-variants/variant_position/credible/roussos_2024/variant_figures/roussos_2024.childhood.Astrocyte/rs61750791_profile_position.png",4,220,900)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0.0319054312</v>
      </c>
      <c r="G972" t="n">
        <v>0.3531661640970908</v>
      </c>
      <c r="H972" t="n">
        <v>0.0121875114404378</v>
      </c>
      <c r="I972" t="n">
        <v>0.4962215450066406</v>
      </c>
      <c r="J972" t="n">
        <v>0.0025333363864654</v>
      </c>
      <c r="K972" t="n">
        <v>0.8433256584833834</v>
      </c>
      <c r="L972" t="b">
        <v>0</v>
      </c>
      <c r="M972" t="b">
        <v>0</v>
      </c>
      <c r="N972" t="inlineStr">
        <is>
          <t>alt</t>
        </is>
      </c>
      <c r="O972" t="n">
        <v>95</v>
      </c>
      <c r="P972" t="n">
        <v>0.003601</v>
      </c>
      <c r="Q972" t="n">
        <v>-100</v>
      </c>
      <c r="R972" t="n">
        <v>0.1874</v>
      </c>
      <c r="S972">
        <f>IMAGE("https://mitra.stanford.edu/kundaje/oak/projects/neuro-variants/variant_position/credible/roussos_2024/variant_figures/roussos_2024.childhood.Astrocyte/rs4512969_count_position.png",4,220,900)</f>
        <v/>
      </c>
      <c r="T972">
        <f>IMAGE("https://mitra.stanford.edu/kundaje/oak/projects/neuro-variants/variant_position/credible/roussos_2024/variant_figures/roussos_2024.childhood.Astrocyte/rs4512969_profile_position.png",4,220,900)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-0.0532386704</v>
      </c>
      <c r="G973" t="n">
        <v>0.1990193741239351</v>
      </c>
      <c r="H973" t="n">
        <v>0.0091824192843448</v>
      </c>
      <c r="I973" t="n">
        <v>0.7836880011651586</v>
      </c>
      <c r="J973" t="n">
        <v>0.0189111004251485</v>
      </c>
      <c r="K973" t="n">
        <v>0.5999590018917885</v>
      </c>
      <c r="L973" t="b">
        <v>0</v>
      </c>
      <c r="M973" t="b">
        <v>0</v>
      </c>
      <c r="N973" t="inlineStr">
        <is>
          <t>ref</t>
        </is>
      </c>
      <c r="O973" t="n">
        <v>75</v>
      </c>
      <c r="P973" t="n">
        <v>0.001799</v>
      </c>
      <c r="Q973" t="n">
        <v>-100</v>
      </c>
      <c r="R973" t="n">
        <v>0.0886</v>
      </c>
      <c r="S973">
        <f>IMAGE("https://mitra.stanford.edu/kundaje/oak/projects/neuro-variants/variant_position/credible/roussos_2024/variant_figures/roussos_2024.childhood.Astrocyte/rs17258158_count_position.png",4,220,900)</f>
        <v/>
      </c>
      <c r="T973">
        <f>IMAGE("https://mitra.stanford.edu/kundaje/oak/projects/neuro-variants/variant_position/credible/roussos_2024/variant_figures/roussos_2024.childhood.Astrocyte/rs17258158_profile_position.png",4,220,900)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0.0125418591199999</v>
      </c>
      <c r="G974" t="n">
        <v>0.6650308113960857</v>
      </c>
      <c r="H974" t="n">
        <v>0.0425467083200774</v>
      </c>
      <c r="I974" t="n">
        <v>0.0075174100766175</v>
      </c>
      <c r="J974" t="n">
        <v>0.008196896491187799</v>
      </c>
      <c r="K974" t="n">
        <v>0.7223806484753712</v>
      </c>
      <c r="L974" t="b">
        <v>0</v>
      </c>
      <c r="M974" t="b">
        <v>0</v>
      </c>
      <c r="N974" t="inlineStr">
        <is>
          <t>alt</t>
        </is>
      </c>
      <c r="O974" t="n">
        <v>0</v>
      </c>
      <c r="P974" t="n">
        <v>0</v>
      </c>
      <c r="Q974" t="n">
        <v>100</v>
      </c>
      <c r="R974" t="n">
        <v>0.0499</v>
      </c>
      <c r="S974">
        <f>IMAGE("https://mitra.stanford.edu/kundaje/oak/projects/neuro-variants/variant_position/credible/roussos_2024/variant_figures/roussos_2024.childhood.Astrocyte/rs73184532_count_position.png",4,220,900)</f>
        <v/>
      </c>
      <c r="T974">
        <f>IMAGE("https://mitra.stanford.edu/kundaje/oak/projects/neuro-variants/variant_position/credible/roussos_2024/variant_figures/roussos_2024.childhood.Astrocyte/rs73184532_profile_position.png",4,220,900)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-0.0760926542</v>
      </c>
      <c r="G975" t="n">
        <v>0.1161900429977612</v>
      </c>
      <c r="H975" t="n">
        <v>0.0287968195229374</v>
      </c>
      <c r="I975" t="n">
        <v>0.0361370335872899</v>
      </c>
      <c r="J975" t="n">
        <v>0.0428346805278864</v>
      </c>
      <c r="K975" t="n">
        <v>0.477678237354917</v>
      </c>
      <c r="L975" t="b">
        <v>0</v>
      </c>
      <c r="M975" t="b">
        <v>0</v>
      </c>
      <c r="N975" t="inlineStr">
        <is>
          <t>ref</t>
        </is>
      </c>
      <c r="O975" t="n">
        <v>-100</v>
      </c>
      <c r="P975" t="n">
        <v>0.01584</v>
      </c>
      <c r="Q975" t="n">
        <v>-75</v>
      </c>
      <c r="R975" t="n">
        <v>0.1952</v>
      </c>
      <c r="S975">
        <f>IMAGE("https://mitra.stanford.edu/kundaje/oak/projects/neuro-variants/variant_position/credible/roussos_2024/variant_figures/roussos_2024.childhood.Astrocyte/rs73184537_count_position.png",4,220,900)</f>
        <v/>
      </c>
      <c r="T975">
        <f>IMAGE("https://mitra.stanford.edu/kundaje/oak/projects/neuro-variants/variant_position/credible/roussos_2024/variant_figures/roussos_2024.childhood.Astrocyte/rs73184537_profile_position.png",4,220,900)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0.0248633730799999</v>
      </c>
      <c r="G976" t="n">
        <v>0.4544792837613371</v>
      </c>
      <c r="H976" t="n">
        <v>0.0507308060922898</v>
      </c>
      <c r="I976" t="n">
        <v>0.003770811652082</v>
      </c>
      <c r="J976" t="n">
        <v>0.0003999603092822</v>
      </c>
      <c r="K976" t="n">
        <v>0.9482745320188428</v>
      </c>
      <c r="L976" t="b">
        <v>0</v>
      </c>
      <c r="M976" t="b">
        <v>0</v>
      </c>
      <c r="N976" t="inlineStr">
        <is>
          <t>alt</t>
        </is>
      </c>
      <c r="O976" t="n">
        <v>95</v>
      </c>
      <c r="P976" t="n">
        <v>0.01614</v>
      </c>
      <c r="Q976" t="n">
        <v>-100</v>
      </c>
      <c r="R976" t="n">
        <v>0.06067</v>
      </c>
      <c r="S976">
        <f>IMAGE("https://mitra.stanford.edu/kundaje/oak/projects/neuro-variants/variant_position/credible/roussos_2024/variant_figures/roussos_2024.childhood.Astrocyte/rs1924300_count_position.png",4,220,900)</f>
        <v/>
      </c>
      <c r="T976">
        <f>IMAGE("https://mitra.stanford.edu/kundaje/oak/projects/neuro-variants/variant_position/credible/roussos_2024/variant_figures/roussos_2024.childhood.Astrocyte/rs1924300_profile_position.png",4,220,900)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0.000682580626</v>
      </c>
      <c r="G977" t="n">
        <v>0.8884694393386345</v>
      </c>
      <c r="H977" t="n">
        <v>0.0086705783764944</v>
      </c>
      <c r="I977" t="n">
        <v>0.8394453183556291</v>
      </c>
      <c r="J977" t="n">
        <v>0.006252814606184</v>
      </c>
      <c r="K977" t="n">
        <v>0.7501613582138801</v>
      </c>
      <c r="L977" t="b">
        <v>0</v>
      </c>
      <c r="M977" t="b">
        <v>0</v>
      </c>
      <c r="N977" t="inlineStr">
        <is>
          <t>alt</t>
        </is>
      </c>
      <c r="O977" t="n">
        <v>-95</v>
      </c>
      <c r="P977" t="n">
        <v>0.004105</v>
      </c>
      <c r="Q977" t="n">
        <v>90</v>
      </c>
      <c r="R977" t="n">
        <v>0.05392</v>
      </c>
      <c r="S977">
        <f>IMAGE("https://mitra.stanford.edu/kundaje/oak/projects/neuro-variants/variant_position/credible/roussos_2024/variant_figures/roussos_2024.childhood.Astrocyte/rs12858218_count_position.png",4,220,900)</f>
        <v/>
      </c>
      <c r="T977">
        <f>IMAGE("https://mitra.stanford.edu/kundaje/oak/projects/neuro-variants/variant_position/credible/roussos_2024/variant_figures/roussos_2024.childhood.Astrocyte/rs12858218_profile_position.png",4,220,900)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-0.0858804304</v>
      </c>
      <c r="G978" t="n">
        <v>0.1029634882738395</v>
      </c>
      <c r="H978" t="n">
        <v>0.0240078990367411</v>
      </c>
      <c r="I978" t="n">
        <v>0.0687581574318802</v>
      </c>
      <c r="J978" t="n">
        <v>0.0082907803042445</v>
      </c>
      <c r="K978" t="n">
        <v>0.7451163788066801</v>
      </c>
      <c r="L978" t="b">
        <v>0</v>
      </c>
      <c r="M978" t="b">
        <v>0</v>
      </c>
      <c r="N978" t="inlineStr">
        <is>
          <t>ref</t>
        </is>
      </c>
      <c r="O978" t="n">
        <v>-35</v>
      </c>
      <c r="P978" t="n">
        <v>0.01443</v>
      </c>
      <c r="Q978" t="n">
        <v>-25</v>
      </c>
      <c r="R978" t="n">
        <v>0.06616</v>
      </c>
      <c r="S978">
        <f>IMAGE("https://mitra.stanford.edu/kundaje/oak/projects/neuro-variants/variant_position/credible/roussos_2024/variant_figures/roussos_2024.childhood.Astrocyte/rs2025402_count_position.png",4,220,900)</f>
        <v/>
      </c>
      <c r="T978">
        <f>IMAGE("https://mitra.stanford.edu/kundaje/oak/projects/neuro-variants/variant_position/credible/roussos_2024/variant_figures/roussos_2024.childhood.Astrocyte/rs2025402_profile_position.png",4,220,900)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0.0704520952</v>
      </c>
      <c r="G979" t="n">
        <v>0.1272329979191845</v>
      </c>
      <c r="H979" t="n">
        <v>0.0134952680841327</v>
      </c>
      <c r="I979" t="n">
        <v>0.3904088776272639</v>
      </c>
      <c r="J979" t="n">
        <v>0.0002129559662017</v>
      </c>
      <c r="K979" t="n">
        <v>0.9728868494985996</v>
      </c>
      <c r="L979" t="b">
        <v>0</v>
      </c>
      <c r="M979" t="b">
        <v>0</v>
      </c>
      <c r="N979" t="inlineStr">
        <is>
          <t>alt</t>
        </is>
      </c>
      <c r="O979" t="n">
        <v>-100</v>
      </c>
      <c r="P979" t="n">
        <v>0.04214</v>
      </c>
      <c r="Q979" t="n">
        <v>-90</v>
      </c>
      <c r="R979" t="n">
        <v>0.11584</v>
      </c>
      <c r="S979">
        <f>IMAGE("https://mitra.stanford.edu/kundaje/oak/projects/neuro-variants/variant_position/credible/roussos_2024/variant_figures/roussos_2024.childhood.Astrocyte/rs11620255_count_position.png",4,220,900)</f>
        <v/>
      </c>
      <c r="T979">
        <f>IMAGE("https://mitra.stanford.edu/kundaje/oak/projects/neuro-variants/variant_position/credible/roussos_2024/variant_figures/roussos_2024.childhood.Astrocyte/rs11620255_profile_position.png",4,220,900)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-0.09999878700000001</v>
      </c>
      <c r="G980" t="n">
        <v>0.0844151867525951</v>
      </c>
      <c r="H980" t="n">
        <v>0.0182591137059901</v>
      </c>
      <c r="I980" t="n">
        <v>0.1689428087703502</v>
      </c>
      <c r="J980" t="n">
        <v>0.0911588926289757</v>
      </c>
      <c r="K980" t="n">
        <v>0.3453219010291756</v>
      </c>
      <c r="L980" t="b">
        <v>0</v>
      </c>
      <c r="M980" t="b">
        <v>0</v>
      </c>
      <c r="N980" t="inlineStr">
        <is>
          <t>ref</t>
        </is>
      </c>
      <c r="O980" t="n">
        <v>-35</v>
      </c>
      <c r="P980" t="n">
        <v>0.015</v>
      </c>
      <c r="Q980" t="n">
        <v>-65</v>
      </c>
      <c r="R980" t="n">
        <v>0.04712</v>
      </c>
      <c r="S980">
        <f>IMAGE("https://mitra.stanford.edu/kundaje/oak/projects/neuro-variants/variant_position/credible/roussos_2024/variant_figures/roussos_2024.childhood.Astrocyte/rs7330208_count_position.png",4,220,900)</f>
        <v/>
      </c>
      <c r="T980">
        <f>IMAGE("https://mitra.stanford.edu/kundaje/oak/projects/neuro-variants/variant_position/credible/roussos_2024/variant_figures/roussos_2024.childhood.Astrocyte/rs7330208_profile_position.png",4,220,900)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0.0897199775999999</v>
      </c>
      <c r="G981" t="n">
        <v>0.08396444183352871</v>
      </c>
      <c r="H981" t="n">
        <v>0.0231497926761421</v>
      </c>
      <c r="I981" t="n">
        <v>0.08101126754546741</v>
      </c>
      <c r="J981" t="n">
        <v>0.004936914657324</v>
      </c>
      <c r="K981" t="n">
        <v>0.7749084327396055</v>
      </c>
      <c r="L981" t="b">
        <v>0</v>
      </c>
      <c r="M981" t="b">
        <v>0</v>
      </c>
      <c r="N981" t="inlineStr">
        <is>
          <t>alt</t>
        </is>
      </c>
      <c r="O981" t="n">
        <v>-50</v>
      </c>
      <c r="P981" t="n">
        <v>0.00861</v>
      </c>
      <c r="Q981" t="n">
        <v>20</v>
      </c>
      <c r="R981" t="n">
        <v>0.03693</v>
      </c>
      <c r="S981">
        <f>IMAGE("https://mitra.stanford.edu/kundaje/oak/projects/neuro-variants/variant_position/credible/roussos_2024/variant_figures/roussos_2024.childhood.Astrocyte/rs9566253_count_position.png",4,220,900)</f>
        <v/>
      </c>
      <c r="T981">
        <f>IMAGE("https://mitra.stanford.edu/kundaje/oak/projects/neuro-variants/variant_position/credible/roussos_2024/variant_figures/roussos_2024.childhood.Astrocyte/rs9566253_profile_position.png",4,220,900)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-0.083573888</v>
      </c>
      <c r="G982" t="n">
        <v>0.1023064769653439</v>
      </c>
      <c r="H982" t="n">
        <v>0.0154254279347761</v>
      </c>
      <c r="I982" t="n">
        <v>0.295974415023222</v>
      </c>
      <c r="J982" t="n">
        <v>0.023009167029226</v>
      </c>
      <c r="K982" t="n">
        <v>0.5798669785496329</v>
      </c>
      <c r="L982" t="b">
        <v>0</v>
      </c>
      <c r="M982" t="b">
        <v>0</v>
      </c>
      <c r="N982" t="inlineStr">
        <is>
          <t>ref</t>
        </is>
      </c>
      <c r="O982" t="n">
        <v>70</v>
      </c>
      <c r="P982" t="n">
        <v>0.001396</v>
      </c>
      <c r="Q982" t="n">
        <v>50</v>
      </c>
      <c r="R982" t="n">
        <v>0.1144</v>
      </c>
      <c r="S982">
        <f>IMAGE("https://mitra.stanford.edu/kundaje/oak/projects/neuro-variants/variant_position/credible/roussos_2024/variant_figures/roussos_2024.childhood.Astrocyte/rs1333376_count_position.png",4,220,900)</f>
        <v/>
      </c>
      <c r="T982">
        <f>IMAGE("https://mitra.stanford.edu/kundaje/oak/projects/neuro-variants/variant_position/credible/roussos_2024/variant_figures/roussos_2024.childhood.Astrocyte/rs1333376_profile_position.png",4,220,900)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0.031149998</v>
      </c>
      <c r="G983" t="n">
        <v>0.3659545783071666</v>
      </c>
      <c r="H983" t="n">
        <v>0.01117553635424</v>
      </c>
      <c r="I983" t="n">
        <v>0.6008946562682375</v>
      </c>
      <c r="J983" t="n">
        <v>0.0001282315495408</v>
      </c>
      <c r="K983" t="n">
        <v>0.988006546539572</v>
      </c>
      <c r="L983" t="b">
        <v>0</v>
      </c>
      <c r="M983" t="b">
        <v>0</v>
      </c>
      <c r="N983" t="inlineStr">
        <is>
          <t>alt</t>
        </is>
      </c>
      <c r="O983" t="n">
        <v>75</v>
      </c>
      <c r="P983" t="n">
        <v>0.007473</v>
      </c>
      <c r="Q983" t="n">
        <v>-40</v>
      </c>
      <c r="R983" t="n">
        <v>0.03943</v>
      </c>
      <c r="S983">
        <f>IMAGE("https://mitra.stanford.edu/kundaje/oak/projects/neuro-variants/variant_position/credible/roussos_2024/variant_figures/roussos_2024.childhood.Astrocyte/rs78587501_count_position.png",4,220,900)</f>
        <v/>
      </c>
      <c r="T983">
        <f>IMAGE("https://mitra.stanford.edu/kundaje/oak/projects/neuro-variants/variant_position/credible/roussos_2024/variant_figures/roussos_2024.childhood.Astrocyte/rs78587501_profile_position.png",4,220,900)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-0.0748995024</v>
      </c>
      <c r="G984" t="n">
        <v>0.1213077267163638</v>
      </c>
      <c r="H984" t="n">
        <v>0.0178583299855456</v>
      </c>
      <c r="I984" t="n">
        <v>0.1901370739785559</v>
      </c>
      <c r="J984" t="n">
        <v>0.0011991176448138</v>
      </c>
      <c r="K984" t="n">
        <v>0.8986460097883539</v>
      </c>
      <c r="L984" t="b">
        <v>0</v>
      </c>
      <c r="M984" t="b">
        <v>0</v>
      </c>
      <c r="N984" t="inlineStr">
        <is>
          <t>ref</t>
        </is>
      </c>
      <c r="O984" t="n">
        <v>90</v>
      </c>
      <c r="P984" t="n">
        <v>0.013916</v>
      </c>
      <c r="Q984" t="n">
        <v>-35</v>
      </c>
      <c r="R984" t="n">
        <v>0.02278</v>
      </c>
      <c r="S984">
        <f>IMAGE("https://mitra.stanford.edu/kundaje/oak/projects/neuro-variants/variant_position/credible/roussos_2024/variant_figures/roussos_2024.childhood.Astrocyte/rs2652578_count_position.png",4,220,900)</f>
        <v/>
      </c>
      <c r="T984">
        <f>IMAGE("https://mitra.stanford.edu/kundaje/oak/projects/neuro-variants/variant_position/credible/roussos_2024/variant_figures/roussos_2024.childhood.Astrocyte/rs2652578_profile_position.png",4,220,900)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-0.162285282</v>
      </c>
      <c r="G985" t="n">
        <v>0.0328748228488647</v>
      </c>
      <c r="H985" t="n">
        <v>0.0279206064504059</v>
      </c>
      <c r="I985" t="n">
        <v>0.0423429852112961</v>
      </c>
      <c r="J985" t="n">
        <v>0.0035385801409019</v>
      </c>
      <c r="K985" t="n">
        <v>0.8415432749624944</v>
      </c>
      <c r="L985" t="b">
        <v>0</v>
      </c>
      <c r="M985" t="b">
        <v>0</v>
      </c>
      <c r="N985" t="inlineStr">
        <is>
          <t>ref</t>
        </is>
      </c>
      <c r="O985" t="n">
        <v>-100</v>
      </c>
      <c r="P985" t="n">
        <v>0.010704</v>
      </c>
      <c r="Q985" t="n">
        <v>-100</v>
      </c>
      <c r="R985" t="n">
        <v>0.285</v>
      </c>
      <c r="S985">
        <f>IMAGE("https://mitra.stanford.edu/kundaje/oak/projects/neuro-variants/variant_position/credible/roussos_2024/variant_figures/roussos_2024.childhood.Astrocyte/rs9548286_count_position.png",4,220,900)</f>
        <v/>
      </c>
      <c r="T985">
        <f>IMAGE("https://mitra.stanford.edu/kundaje/oak/projects/neuro-variants/variant_position/credible/roussos_2024/variant_figures/roussos_2024.childhood.Astrocyte/rs9548286_profile_position.png",4,220,900)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-0.0153372993</v>
      </c>
      <c r="G986" t="n">
        <v>0.6163599885782252</v>
      </c>
      <c r="H986" t="n">
        <v>0.0539884312444197</v>
      </c>
      <c r="I986" t="n">
        <v>0.0030525032285918</v>
      </c>
      <c r="J986" t="n">
        <v>0.0001167823040461</v>
      </c>
      <c r="K986" t="n">
        <v>0.9831016950940284</v>
      </c>
      <c r="L986" t="b">
        <v>0</v>
      </c>
      <c r="M986" t="b">
        <v>0</v>
      </c>
      <c r="N986" t="inlineStr">
        <is>
          <t>ref</t>
        </is>
      </c>
      <c r="O986" t="n">
        <v>-80</v>
      </c>
      <c r="P986" t="n">
        <v>0.005005</v>
      </c>
      <c r="Q986" t="n">
        <v>-75</v>
      </c>
      <c r="R986" t="n">
        <v>0.1061</v>
      </c>
      <c r="S986">
        <f>IMAGE("https://mitra.stanford.edu/kundaje/oak/projects/neuro-variants/variant_position/credible/roussos_2024/variant_figures/roussos_2024.childhood.Astrocyte/rs665175_count_position.png",4,220,900)</f>
        <v/>
      </c>
      <c r="T986">
        <f>IMAGE("https://mitra.stanford.edu/kundaje/oak/projects/neuro-variants/variant_position/credible/roussos_2024/variant_figures/roussos_2024.childhood.Astrocyte/rs665175_profile_position.png",4,220,900)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-0.0091576836799999</v>
      </c>
      <c r="G987" t="n">
        <v>0.7458242348966549</v>
      </c>
      <c r="H987" t="n">
        <v>0.010403147082055</v>
      </c>
      <c r="I987" t="n">
        <v>0.6801781897088613</v>
      </c>
      <c r="J987" t="n">
        <v>0.0095601199880927</v>
      </c>
      <c r="K987" t="n">
        <v>0.6959233822218165</v>
      </c>
      <c r="L987" t="b">
        <v>0</v>
      </c>
      <c r="M987" t="b">
        <v>0</v>
      </c>
      <c r="N987" t="inlineStr">
        <is>
          <t>ref</t>
        </is>
      </c>
      <c r="O987" t="n">
        <v>-80</v>
      </c>
      <c r="P987" t="n">
        <v>0.008026</v>
      </c>
      <c r="Q987" t="n">
        <v>-35</v>
      </c>
      <c r="R987" t="n">
        <v>0.1533</v>
      </c>
      <c r="S987">
        <f>IMAGE("https://mitra.stanford.edu/kundaje/oak/projects/neuro-variants/variant_position/credible/roussos_2024/variant_figures/roussos_2024.childhood.Astrocyte/rs651360_count_position.png",4,220,900)</f>
        <v/>
      </c>
      <c r="T987">
        <f>IMAGE("https://mitra.stanford.edu/kundaje/oak/projects/neuro-variants/variant_position/credible/roussos_2024/variant_figures/roussos_2024.childhood.Astrocyte/rs651360_profile_position.png",4,220,900)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-0.0096406633999999</v>
      </c>
      <c r="G988" t="n">
        <v>0.4009120399418545</v>
      </c>
      <c r="H988" t="n">
        <v>0.0223924452776082</v>
      </c>
      <c r="I988" t="n">
        <v>0.086373068279941</v>
      </c>
      <c r="J988" t="n">
        <v>0.5204430094723425</v>
      </c>
      <c r="K988" t="n">
        <v>0.0503842479654984</v>
      </c>
      <c r="L988" t="b">
        <v>0</v>
      </c>
      <c r="M988" t="b">
        <v>0</v>
      </c>
      <c r="N988" t="inlineStr">
        <is>
          <t>ref</t>
        </is>
      </c>
      <c r="O988" t="n">
        <v>-5</v>
      </c>
      <c r="P988" t="n">
        <v>0.001404</v>
      </c>
      <c r="Q988" t="n">
        <v>-5</v>
      </c>
      <c r="R988" t="n">
        <v>0.01074</v>
      </c>
      <c r="S988">
        <f>IMAGE("https://mitra.stanford.edu/kundaje/oak/projects/neuro-variants/variant_position/credible/roussos_2024/variant_figures/roussos_2024.childhood.Astrocyte/rs7322623_count_position.png",4,220,900)</f>
        <v/>
      </c>
      <c r="T988">
        <f>IMAGE("https://mitra.stanford.edu/kundaje/oak/projects/neuro-variants/variant_position/credible/roussos_2024/variant_figures/roussos_2024.childhood.Astrocyte/rs7322623_profile_position.png",4,220,900)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-0.051803345</v>
      </c>
      <c r="G989" t="n">
        <v>0.2268994317127396</v>
      </c>
      <c r="H989" t="n">
        <v>0.0135356511957108</v>
      </c>
      <c r="I989" t="n">
        <v>0.3948121954383534</v>
      </c>
      <c r="J989" t="n">
        <v>0.0075855067817696</v>
      </c>
      <c r="K989" t="n">
        <v>0.7397402600458916</v>
      </c>
      <c r="L989" t="b">
        <v>0</v>
      </c>
      <c r="M989" t="b">
        <v>0</v>
      </c>
      <c r="N989" t="inlineStr">
        <is>
          <t>ref</t>
        </is>
      </c>
      <c r="O989" t="n">
        <v>-100</v>
      </c>
      <c r="P989" t="n">
        <v>0.00659</v>
      </c>
      <c r="Q989" t="n">
        <v>-75</v>
      </c>
      <c r="R989" t="n">
        <v>0.0829</v>
      </c>
      <c r="S989">
        <f>IMAGE("https://mitra.stanford.edu/kundaje/oak/projects/neuro-variants/variant_position/credible/roussos_2024/variant_figures/roussos_2024.childhood.Astrocyte/rs276423_count_position.png",4,220,900)</f>
        <v/>
      </c>
      <c r="T989">
        <f>IMAGE("https://mitra.stanford.edu/kundaje/oak/projects/neuro-variants/variant_position/credible/roussos_2024/variant_figures/roussos_2024.childhood.Astrocyte/rs276423_profile_position.png",4,220,900)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-0.1402122288</v>
      </c>
      <c r="G990" t="n">
        <v>0.0363734509600992</v>
      </c>
      <c r="H990" t="n">
        <v>0.0195156861817391</v>
      </c>
      <c r="I990" t="n">
        <v>0.1416855668568918</v>
      </c>
      <c r="J990" t="n">
        <v>0.0325509682245272</v>
      </c>
      <c r="K990" t="n">
        <v>0.5615798708012109</v>
      </c>
      <c r="L990" t="b">
        <v>0</v>
      </c>
      <c r="M990" t="b">
        <v>0</v>
      </c>
      <c r="N990" t="inlineStr">
        <is>
          <t>ref</t>
        </is>
      </c>
      <c r="O990" t="n">
        <v>-5</v>
      </c>
      <c r="P990" t="n">
        <v>0.002075</v>
      </c>
      <c r="Q990" t="n">
        <v>-100</v>
      </c>
      <c r="R990" t="n">
        <v>0.0897</v>
      </c>
      <c r="S990">
        <f>IMAGE("https://mitra.stanford.edu/kundaje/oak/projects/neuro-variants/variant_position/credible/roussos_2024/variant_figures/roussos_2024.childhood.Astrocyte/rs277293_count_position.png",4,220,900)</f>
        <v/>
      </c>
      <c r="T990">
        <f>IMAGE("https://mitra.stanford.edu/kundaje/oak/projects/neuro-variants/variant_position/credible/roussos_2024/variant_figures/roussos_2024.childhood.Astrocyte/rs277293_profile_position.png",4,220,900)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-0.06787992644</v>
      </c>
      <c r="G991" t="n">
        <v>0.1434586710247588</v>
      </c>
      <c r="H991" t="n">
        <v>0.0200746754687496</v>
      </c>
      <c r="I991" t="n">
        <v>0.1254363907592643</v>
      </c>
      <c r="J991" t="n">
        <v>0.0318304290413927</v>
      </c>
      <c r="K991" t="n">
        <v>0.5344305163773383</v>
      </c>
      <c r="L991" t="b">
        <v>0</v>
      </c>
      <c r="M991" t="b">
        <v>0</v>
      </c>
      <c r="N991" t="inlineStr">
        <is>
          <t>ref</t>
        </is>
      </c>
      <c r="O991" t="n">
        <v>-30</v>
      </c>
      <c r="P991" t="n">
        <v>0.004692</v>
      </c>
      <c r="Q991" t="n">
        <v>-30</v>
      </c>
      <c r="R991" t="n">
        <v>0.03827</v>
      </c>
      <c r="S991">
        <f>IMAGE("https://mitra.stanford.edu/kundaje/oak/projects/neuro-variants/variant_position/credible/roussos_2024/variant_figures/roussos_2024.childhood.Astrocyte/rs9567243_count_position.png",4,220,900)</f>
        <v/>
      </c>
      <c r="T991">
        <f>IMAGE("https://mitra.stanford.edu/kundaje/oak/projects/neuro-variants/variant_position/credible/roussos_2024/variant_figures/roussos_2024.childhood.Astrocyte/rs9567243_profile_position.png",4,220,900)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-0.04096429922</v>
      </c>
      <c r="G992" t="n">
        <v>0.2827608834078346</v>
      </c>
      <c r="H992" t="n">
        <v>0.009898224442241</v>
      </c>
      <c r="I992" t="n">
        <v>0.7189538919329619</v>
      </c>
      <c r="J992" t="n">
        <v>0.0109546380893498</v>
      </c>
      <c r="K992" t="n">
        <v>0.6827366349733179</v>
      </c>
      <c r="L992" t="b">
        <v>0</v>
      </c>
      <c r="M992" t="b">
        <v>0</v>
      </c>
      <c r="N992" t="inlineStr">
        <is>
          <t>ref</t>
        </is>
      </c>
      <c r="O992" t="n">
        <v>10</v>
      </c>
      <c r="P992" t="n">
        <v>0.000889</v>
      </c>
      <c r="Q992" t="n">
        <v>-60</v>
      </c>
      <c r="R992" t="n">
        <v>0.005524</v>
      </c>
      <c r="S992">
        <f>IMAGE("https://mitra.stanford.edu/kundaje/oak/projects/neuro-variants/variant_position/credible/roussos_2024/variant_figures/roussos_2024.childhood.Astrocyte/rs12864863_count_position.png",4,220,900)</f>
        <v/>
      </c>
      <c r="T992">
        <f>IMAGE("https://mitra.stanford.edu/kundaje/oak/projects/neuro-variants/variant_position/credible/roussos_2024/variant_figures/roussos_2024.childhood.Astrocyte/rs12864863_profile_position.png",4,220,900)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0.0445566256</v>
      </c>
      <c r="G993" t="n">
        <v>0.2488641817764067</v>
      </c>
      <c r="H993" t="n">
        <v>0.01192852720968</v>
      </c>
      <c r="I993" t="n">
        <v>0.5221924367944895</v>
      </c>
      <c r="J993" t="n">
        <v>0.09575461977055701</v>
      </c>
      <c r="K993" t="n">
        <v>0.3361447460119743</v>
      </c>
      <c r="L993" t="b">
        <v>0</v>
      </c>
      <c r="M993" t="b">
        <v>0</v>
      </c>
      <c r="N993" t="inlineStr">
        <is>
          <t>alt</t>
        </is>
      </c>
      <c r="O993" t="n">
        <v>-95</v>
      </c>
      <c r="P993" t="n">
        <v>0.002705</v>
      </c>
      <c r="Q993" t="n">
        <v>-45</v>
      </c>
      <c r="R993" t="n">
        <v>0.09959999999999999</v>
      </c>
      <c r="S993">
        <f>IMAGE("https://mitra.stanford.edu/kundaje/oak/projects/neuro-variants/variant_position/credible/roussos_2024/variant_figures/roussos_2024.childhood.Astrocyte/rs11147926_count_position.png",4,220,900)</f>
        <v/>
      </c>
      <c r="T993">
        <f>IMAGE("https://mitra.stanford.edu/kundaje/oak/projects/neuro-variants/variant_position/credible/roussos_2024/variant_figures/roussos_2024.childhood.Astrocyte/rs11147926_profile_position.png",4,220,900)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0.0325236924</v>
      </c>
      <c r="G994" t="n">
        <v>0.2861863656993147</v>
      </c>
      <c r="H994" t="n">
        <v>0.0154459715678109</v>
      </c>
      <c r="I994" t="n">
        <v>0.2750918353829782</v>
      </c>
      <c r="J994" t="n">
        <v>0.0111576713761229</v>
      </c>
      <c r="K994" t="n">
        <v>0.6869496138789625</v>
      </c>
      <c r="L994" t="b">
        <v>0</v>
      </c>
      <c r="M994" t="b">
        <v>0</v>
      </c>
      <c r="N994" t="inlineStr">
        <is>
          <t>alt</t>
        </is>
      </c>
      <c r="O994" t="n">
        <v>50</v>
      </c>
      <c r="P994" t="n">
        <v>0.003761</v>
      </c>
      <c r="Q994" t="n">
        <v>100</v>
      </c>
      <c r="R994" t="n">
        <v>0.1661</v>
      </c>
      <c r="S994">
        <f>IMAGE("https://mitra.stanford.edu/kundaje/oak/projects/neuro-variants/variant_position/credible/roussos_2024/variant_figures/roussos_2024.childhood.Astrocyte/rs11619519_count_position.png",4,220,900)</f>
        <v/>
      </c>
      <c r="T994">
        <f>IMAGE("https://mitra.stanford.edu/kundaje/oak/projects/neuro-variants/variant_position/credible/roussos_2024/variant_figures/roussos_2024.childhood.Astrocyte/rs11619519_profile_position.png",4,220,900)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-0.0865822378</v>
      </c>
      <c r="G995" t="n">
        <v>0.1197952458225038</v>
      </c>
      <c r="H995" t="n">
        <v>0.0135422204071586</v>
      </c>
      <c r="I995" t="n">
        <v>0.3903574485555962</v>
      </c>
      <c r="J995" t="n">
        <v>0.1199461122178714</v>
      </c>
      <c r="K995" t="n">
        <v>0.2887792689503443</v>
      </c>
      <c r="L995" t="b">
        <v>0</v>
      </c>
      <c r="M995" t="b">
        <v>0</v>
      </c>
      <c r="N995" t="inlineStr">
        <is>
          <t>ref</t>
        </is>
      </c>
      <c r="O995" t="n">
        <v>95</v>
      </c>
      <c r="P995" t="n">
        <v>0.03345</v>
      </c>
      <c r="Q995" t="n">
        <v>-90</v>
      </c>
      <c r="R995" t="n">
        <v>0.1315</v>
      </c>
      <c r="S995">
        <f>IMAGE("https://mitra.stanford.edu/kundaje/oak/projects/neuro-variants/variant_position/credible/roussos_2024/variant_figures/roussos_2024.childhood.Astrocyte/rs11147928_count_position.png",4,220,900)</f>
        <v/>
      </c>
      <c r="T995">
        <f>IMAGE("https://mitra.stanford.edu/kundaje/oak/projects/neuro-variants/variant_position/credible/roussos_2024/variant_figures/roussos_2024.childhood.Astrocyte/rs11147928_profile_position.png",4,220,900)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0.1673740042</v>
      </c>
      <c r="G996" t="n">
        <v>0.0384896443445261</v>
      </c>
      <c r="H996" t="n">
        <v>0.0241820345530928</v>
      </c>
      <c r="I996" t="n">
        <v>0.0750350650440528</v>
      </c>
      <c r="J996" t="n">
        <v>0.1690023127475898</v>
      </c>
      <c r="K996" t="n">
        <v>0.2294673005168966</v>
      </c>
      <c r="L996" t="b">
        <v>0</v>
      </c>
      <c r="M996" t="b">
        <v>0</v>
      </c>
      <c r="N996" t="inlineStr">
        <is>
          <t>alt</t>
        </is>
      </c>
      <c r="O996" t="n">
        <v>100</v>
      </c>
      <c r="P996" t="n">
        <v>0.02916</v>
      </c>
      <c r="Q996" t="n">
        <v>40</v>
      </c>
      <c r="R996" t="n">
        <v>0.1172</v>
      </c>
      <c r="S996">
        <f>IMAGE("https://mitra.stanford.edu/kundaje/oak/projects/neuro-variants/variant_position/credible/roussos_2024/variant_figures/roussos_2024.childhood.Astrocyte/rs10870772_count_position.png",4,220,900)</f>
        <v/>
      </c>
      <c r="T996">
        <f>IMAGE("https://mitra.stanford.edu/kundaje/oak/projects/neuro-variants/variant_position/credible/roussos_2024/variant_figures/roussos_2024.childhood.Astrocyte/rs10870772_profile_position.png",4,220,900)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0.028863672</v>
      </c>
      <c r="G997" t="n">
        <v>0.3916211841364168</v>
      </c>
      <c r="H997" t="n">
        <v>0.0487324799248042</v>
      </c>
      <c r="I997" t="n">
        <v>0.0044381359406528</v>
      </c>
      <c r="J997" t="n">
        <v>0.0209284574813185</v>
      </c>
      <c r="K997" t="n">
        <v>0.5840745661850995</v>
      </c>
      <c r="L997" t="b">
        <v>1</v>
      </c>
      <c r="M997" t="b">
        <v>0</v>
      </c>
      <c r="N997" t="inlineStr">
        <is>
          <t>alt</t>
        </is>
      </c>
      <c r="O997" t="n">
        <v>-10</v>
      </c>
      <c r="P997" t="n">
        <v>0.002304</v>
      </c>
      <c r="Q997" t="n">
        <v>40</v>
      </c>
      <c r="R997" t="n">
        <v>0.105</v>
      </c>
      <c r="S997">
        <f>IMAGE("https://mitra.stanford.edu/kundaje/oak/projects/neuro-variants/variant_position/credible/roussos_2024/variant_figures/roussos_2024.childhood.Astrocyte/rs12872943_count_position.png",4,220,900)</f>
        <v/>
      </c>
      <c r="T997">
        <f>IMAGE("https://mitra.stanford.edu/kundaje/oak/projects/neuro-variants/variant_position/credible/roussos_2024/variant_figures/roussos_2024.childhood.Astrocyte/rs12872943_profile_position.png",4,220,900)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0.0163499511999999</v>
      </c>
      <c r="G998" t="n">
        <v>0.5792625697449798</v>
      </c>
      <c r="H998" t="n">
        <v>0.0140929839592219</v>
      </c>
      <c r="I998" t="n">
        <v>0.3519954676552124</v>
      </c>
      <c r="J998" t="n">
        <v>0.0001183088701121</v>
      </c>
      <c r="K998" t="n">
        <v>0.9835668494161004</v>
      </c>
      <c r="L998" t="b">
        <v>0</v>
      </c>
      <c r="M998" t="b">
        <v>0</v>
      </c>
      <c r="N998" t="inlineStr">
        <is>
          <t>alt</t>
        </is>
      </c>
      <c r="O998" t="n">
        <v>-100</v>
      </c>
      <c r="P998" t="n">
        <v>0.01622</v>
      </c>
      <c r="Q998" t="n">
        <v>-85</v>
      </c>
      <c r="R998" t="n">
        <v>0.04495</v>
      </c>
      <c r="S998">
        <f>IMAGE("https://mitra.stanford.edu/kundaje/oak/projects/neuro-variants/variant_position/credible/roussos_2024/variant_figures/roussos_2024.childhood.Astrocyte/rs2875541_count_position.png",4,220,900)</f>
        <v/>
      </c>
      <c r="T998">
        <f>IMAGE("https://mitra.stanford.edu/kundaje/oak/projects/neuro-variants/variant_position/credible/roussos_2024/variant_figures/roussos_2024.childhood.Astrocyte/rs2875541_profile_position.png",4,220,900)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-0.07025281366</v>
      </c>
      <c r="G999" t="n">
        <v>0.1813902164148377</v>
      </c>
      <c r="H999" t="n">
        <v>0.0248842265360779</v>
      </c>
      <c r="I999" t="n">
        <v>0.0643572705820708</v>
      </c>
      <c r="J999" t="n">
        <v>0.1131979269232823</v>
      </c>
      <c r="K999" t="n">
        <v>0.299436479566151</v>
      </c>
      <c r="L999" t="b">
        <v>0</v>
      </c>
      <c r="M999" t="b">
        <v>0</v>
      </c>
      <c r="N999" t="inlineStr">
        <is>
          <t>ref</t>
        </is>
      </c>
      <c r="O999" t="n">
        <v>100</v>
      </c>
      <c r="P999" t="n">
        <v>0.014656</v>
      </c>
      <c r="Q999" t="n">
        <v>-75</v>
      </c>
      <c r="R999" t="n">
        <v>0.0849</v>
      </c>
      <c r="S999">
        <f>IMAGE("https://mitra.stanford.edu/kundaje/oak/projects/neuro-variants/variant_position/credible/roussos_2024/variant_figures/roussos_2024.childhood.Astrocyte/rs4942255_count_position.png",4,220,900)</f>
        <v/>
      </c>
      <c r="T999">
        <f>IMAGE("https://mitra.stanford.edu/kundaje/oak/projects/neuro-variants/variant_position/credible/roussos_2024/variant_figures/roussos_2024.childhood.Astrocyte/rs4942255_profile_position.png",4,220,900)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-0.0002774349</v>
      </c>
      <c r="G1000" t="n">
        <v>0.8885829755792364</v>
      </c>
      <c r="H1000" t="n">
        <v>0.025288094633405</v>
      </c>
      <c r="I1000" t="n">
        <v>0.0567254662655329</v>
      </c>
      <c r="J1000" t="n">
        <v>0.0183752757359956</v>
      </c>
      <c r="K1000" t="n">
        <v>0.6047019850261681</v>
      </c>
      <c r="L1000" t="b">
        <v>0</v>
      </c>
      <c r="M1000" t="b">
        <v>0</v>
      </c>
      <c r="N1000" t="inlineStr">
        <is>
          <t>ref</t>
        </is>
      </c>
      <c r="O1000" t="n">
        <v>95</v>
      </c>
      <c r="P1000" t="n">
        <v>0.002258</v>
      </c>
      <c r="Q1000" t="n">
        <v>-50</v>
      </c>
      <c r="R1000" t="n">
        <v>0.08044</v>
      </c>
      <c r="S1000">
        <f>IMAGE("https://mitra.stanford.edu/kundaje/oak/projects/neuro-variants/variant_position/credible/roussos_2024/variant_figures/roussos_2024.childhood.Astrocyte/rs1445557_count_position.png",4,220,900)</f>
        <v/>
      </c>
      <c r="T1000">
        <f>IMAGE("https://mitra.stanford.edu/kundaje/oak/projects/neuro-variants/variant_position/credible/roussos_2024/variant_figures/roussos_2024.childhood.Astrocyte/rs1445557_profile_position.png",4,220,900)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-0.01472764046</v>
      </c>
      <c r="G1001" t="n">
        <v>0.6384486453774179</v>
      </c>
      <c r="H1001" t="n">
        <v>0.0115800981279501</v>
      </c>
      <c r="I1001" t="n">
        <v>0.5593163059864091</v>
      </c>
      <c r="J1001" t="n">
        <v>0.0366994115087815</v>
      </c>
      <c r="K1001" t="n">
        <v>0.4954572197185637</v>
      </c>
      <c r="L1001" t="b">
        <v>0</v>
      </c>
      <c r="M1001" t="b">
        <v>0</v>
      </c>
      <c r="N1001" t="inlineStr">
        <is>
          <t>ref</t>
        </is>
      </c>
      <c r="O1001" t="n">
        <v>65</v>
      </c>
      <c r="P1001" t="n">
        <v>0.002945</v>
      </c>
      <c r="Q1001" t="n">
        <v>-55</v>
      </c>
      <c r="R1001" t="n">
        <v>0.09</v>
      </c>
      <c r="S1001">
        <f>IMAGE("https://mitra.stanford.edu/kundaje/oak/projects/neuro-variants/variant_position/credible/roussos_2024/variant_figures/roussos_2024.childhood.Astrocyte/rs1373903_count_position.png",4,220,900)</f>
        <v/>
      </c>
      <c r="T1001">
        <f>IMAGE("https://mitra.stanford.edu/kundaje/oak/projects/neuro-variants/variant_position/credible/roussos_2024/variant_figures/roussos_2024.childhood.Astrocyte/rs1373903_profile_position.png",4,220,900)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0.081129306</v>
      </c>
      <c r="G1002" t="n">
        <v>0.1112404247975956</v>
      </c>
      <c r="H1002" t="n">
        <v>0.0222899680783321</v>
      </c>
      <c r="I1002" t="n">
        <v>0.0911796769602965</v>
      </c>
      <c r="J1002" t="n">
        <v>0.0175639058719363</v>
      </c>
      <c r="K1002" t="n">
        <v>0.6168057795937908</v>
      </c>
      <c r="L1002" t="b">
        <v>0</v>
      </c>
      <c r="M1002" t="b">
        <v>0</v>
      </c>
      <c r="N1002" t="inlineStr">
        <is>
          <t>alt</t>
        </is>
      </c>
      <c r="O1002" t="n">
        <v>-60</v>
      </c>
      <c r="P1002" t="n">
        <v>0.003399</v>
      </c>
      <c r="Q1002" t="n">
        <v>-100</v>
      </c>
      <c r="R1002" t="n">
        <v>0.1265</v>
      </c>
      <c r="S1002">
        <f>IMAGE("https://mitra.stanford.edu/kundaje/oak/projects/neuro-variants/variant_position/credible/roussos_2024/variant_figures/roussos_2024.childhood.Astrocyte/rs7994883_count_position.png",4,220,900)</f>
        <v/>
      </c>
      <c r="T1002">
        <f>IMAGE("https://mitra.stanford.edu/kundaje/oak/projects/neuro-variants/variant_position/credible/roussos_2024/variant_figures/roussos_2024.childhood.Astrocyte/rs7994883_profile_position.png",4,220,900)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0.04534287226</v>
      </c>
      <c r="G1003" t="n">
        <v>0.2480313506753683</v>
      </c>
      <c r="H1003" t="n">
        <v>0.0173513896291105</v>
      </c>
      <c r="I1003" t="n">
        <v>0.1969851643251611</v>
      </c>
      <c r="J1003" t="n">
        <v>0.68806225336417</v>
      </c>
      <c r="K1003" t="n">
        <v>0.0198059508075585</v>
      </c>
      <c r="L1003" t="b">
        <v>0</v>
      </c>
      <c r="M1003" t="b">
        <v>0</v>
      </c>
      <c r="N1003" t="inlineStr">
        <is>
          <t>alt</t>
        </is>
      </c>
      <c r="O1003" t="n">
        <v>20</v>
      </c>
      <c r="P1003" t="n">
        <v>0.001808</v>
      </c>
      <c r="Q1003" t="n">
        <v>85</v>
      </c>
      <c r="R1003" t="n">
        <v>0.125</v>
      </c>
      <c r="S1003">
        <f>IMAGE("https://mitra.stanford.edu/kundaje/oak/projects/neuro-variants/variant_position/credible/roussos_2024/variant_figures/roussos_2024.childhood.Astrocyte/rs1359541_count_position.png",4,220,900)</f>
        <v/>
      </c>
      <c r="T1003">
        <f>IMAGE("https://mitra.stanford.edu/kundaje/oak/projects/neuro-variants/variant_position/credible/roussos_2024/variant_figures/roussos_2024.childhood.Astrocyte/rs1359541_profile_position.png",4,220,900)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-0.0120167175</v>
      </c>
      <c r="G1004" t="n">
        <v>0.5697962209863187</v>
      </c>
      <c r="H1004" t="n">
        <v>0.0107838235849478</v>
      </c>
      <c r="I1004" t="n">
        <v>0.6316925642901791</v>
      </c>
      <c r="J1004" t="n">
        <v>0.027333165411066</v>
      </c>
      <c r="K1004" t="n">
        <v>0.5443950454154279</v>
      </c>
      <c r="L1004" t="b">
        <v>0</v>
      </c>
      <c r="M1004" t="b">
        <v>0</v>
      </c>
      <c r="N1004" t="inlineStr">
        <is>
          <t>ref</t>
        </is>
      </c>
      <c r="O1004" t="n">
        <v>-90</v>
      </c>
      <c r="P1004" t="n">
        <v>0.006058</v>
      </c>
      <c r="Q1004" t="n">
        <v>-35</v>
      </c>
      <c r="R1004" t="n">
        <v>0.1565</v>
      </c>
      <c r="S1004">
        <f>IMAGE("https://mitra.stanford.edu/kundaje/oak/projects/neuro-variants/variant_position/credible/roussos_2024/variant_figures/roussos_2024.childhood.Astrocyte/rs9316462_count_position.png",4,220,900)</f>
        <v/>
      </c>
      <c r="T1004">
        <f>IMAGE("https://mitra.stanford.edu/kundaje/oak/projects/neuro-variants/variant_position/credible/roussos_2024/variant_figures/roussos_2024.childhood.Astrocyte/rs9316462_profile_position.png",4,220,900)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-0.00270221616</v>
      </c>
      <c r="G1005" t="n">
        <v>0.7614658996284457</v>
      </c>
      <c r="H1005" t="n">
        <v>0.020048947110424</v>
      </c>
      <c r="I1005" t="n">
        <v>0.1238647752404321</v>
      </c>
      <c r="J1005" t="n">
        <v>0.0014471846305328</v>
      </c>
      <c r="K1005" t="n">
        <v>0.8812536552545639</v>
      </c>
      <c r="L1005" t="b">
        <v>0</v>
      </c>
      <c r="M1005" t="b">
        <v>0</v>
      </c>
      <c r="N1005" t="inlineStr">
        <is>
          <t>ref</t>
        </is>
      </c>
      <c r="O1005" t="n">
        <v>100</v>
      </c>
      <c r="P1005" t="n">
        <v>0.01503</v>
      </c>
      <c r="Q1005" t="n">
        <v>100</v>
      </c>
      <c r="R1005" t="n">
        <v>0.2893</v>
      </c>
      <c r="S1005">
        <f>IMAGE("https://mitra.stanford.edu/kundaje/oak/projects/neuro-variants/variant_position/credible/roussos_2024/variant_figures/roussos_2024.childhood.Astrocyte/rs4619272_count_position.png",4,220,900)</f>
        <v/>
      </c>
      <c r="T1005">
        <f>IMAGE("https://mitra.stanford.edu/kundaje/oak/projects/neuro-variants/variant_position/credible/roussos_2024/variant_figures/roussos_2024.childhood.Astrocyte/rs4619272_profile_position.png",4,220,900)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0.0511439657999999</v>
      </c>
      <c r="G1006" t="n">
        <v>0.1863085463075809</v>
      </c>
      <c r="H1006" t="n">
        <v>0.0174735007116773</v>
      </c>
      <c r="I1006" t="n">
        <v>0.2068277375085392</v>
      </c>
      <c r="J1006" t="n">
        <v>0.028075839802157</v>
      </c>
      <c r="K1006" t="n">
        <v>0.5491794633116236</v>
      </c>
      <c r="L1006" t="b">
        <v>0</v>
      </c>
      <c r="M1006" t="b">
        <v>0</v>
      </c>
      <c r="N1006" t="inlineStr">
        <is>
          <t>alt</t>
        </is>
      </c>
      <c r="O1006" t="n">
        <v>-75</v>
      </c>
      <c r="P1006" t="n">
        <v>0.004166</v>
      </c>
      <c r="Q1006" t="n">
        <v>40</v>
      </c>
      <c r="R1006" t="n">
        <v>0.07324</v>
      </c>
      <c r="S1006">
        <f>IMAGE("https://mitra.stanford.edu/kundaje/oak/projects/neuro-variants/variant_position/credible/roussos_2024/variant_figures/roussos_2024.childhood.Astrocyte/rs7989647_count_position.png",4,220,900)</f>
        <v/>
      </c>
      <c r="T1006">
        <f>IMAGE("https://mitra.stanford.edu/kundaje/oak/projects/neuro-variants/variant_position/credible/roussos_2024/variant_figures/roussos_2024.childhood.Astrocyte/rs7989647_profile_position.png",4,220,900)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-0.1108415972</v>
      </c>
      <c r="G1007" t="n">
        <v>0.06537709175379949</v>
      </c>
      <c r="H1007" t="n">
        <v>0.0151694394465617</v>
      </c>
      <c r="I1007" t="n">
        <v>0.2881865400773166</v>
      </c>
      <c r="J1007" t="n">
        <v>0.0571134162258706</v>
      </c>
      <c r="K1007" t="n">
        <v>0.4199249461458304</v>
      </c>
      <c r="L1007" t="b">
        <v>0</v>
      </c>
      <c r="M1007" t="b">
        <v>0</v>
      </c>
      <c r="N1007" t="inlineStr">
        <is>
          <t>ref</t>
        </is>
      </c>
      <c r="O1007" t="n">
        <v>95</v>
      </c>
      <c r="P1007" t="n">
        <v>0.02423</v>
      </c>
      <c r="Q1007" t="n">
        <v>90</v>
      </c>
      <c r="R1007" t="n">
        <v>0.2456</v>
      </c>
      <c r="S1007">
        <f>IMAGE("https://mitra.stanford.edu/kundaje/oak/projects/neuro-variants/variant_position/credible/roussos_2024/variant_figures/roussos_2024.childhood.Astrocyte/rs2806731_count_position.png",4,220,900)</f>
        <v/>
      </c>
      <c r="T1007">
        <f>IMAGE("https://mitra.stanford.edu/kundaje/oak/projects/neuro-variants/variant_position/credible/roussos_2024/variant_figures/roussos_2024.childhood.Astrocyte/rs2806731_profile_position.png",4,220,900)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-0.0413554996</v>
      </c>
      <c r="G1008" t="n">
        <v>0.1645500195637229</v>
      </c>
      <c r="H1008" t="n">
        <v>0.0144807742723315</v>
      </c>
      <c r="I1008" t="n">
        <v>0.3341317104692868</v>
      </c>
      <c r="J1008" t="n">
        <v>0.0370405990245242</v>
      </c>
      <c r="K1008" t="n">
        <v>0.4906236744749795</v>
      </c>
      <c r="L1008" t="b">
        <v>0</v>
      </c>
      <c r="M1008" t="b">
        <v>0</v>
      </c>
      <c r="N1008" t="inlineStr">
        <is>
          <t>ref</t>
        </is>
      </c>
      <c r="O1008" t="n">
        <v>-80</v>
      </c>
      <c r="P1008" t="n">
        <v>0.005913</v>
      </c>
      <c r="Q1008" t="n">
        <v>-70</v>
      </c>
      <c r="R1008" t="n">
        <v>0.03882</v>
      </c>
      <c r="S1008">
        <f>IMAGE("https://mitra.stanford.edu/kundaje/oak/projects/neuro-variants/variant_position/credible/roussos_2024/variant_figures/roussos_2024.childhood.Astrocyte/rs2806738_count_position.png",4,220,900)</f>
        <v/>
      </c>
      <c r="T1008">
        <f>IMAGE("https://mitra.stanford.edu/kundaje/oak/projects/neuro-variants/variant_position/credible/roussos_2024/variant_figures/roussos_2024.childhood.Astrocyte/rs2806738_profile_position.png",4,220,900)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-0.0976811584</v>
      </c>
      <c r="G1009" t="n">
        <v>0.0768313449601367</v>
      </c>
      <c r="H1009" t="n">
        <v>0.0186019377622224</v>
      </c>
      <c r="I1009" t="n">
        <v>0.1574820595992472</v>
      </c>
      <c r="J1009" t="n">
        <v>0.0267668094005937</v>
      </c>
      <c r="K1009" t="n">
        <v>0.558114306445894</v>
      </c>
      <c r="L1009" t="b">
        <v>0</v>
      </c>
      <c r="M1009" t="b">
        <v>0</v>
      </c>
      <c r="N1009" t="inlineStr">
        <is>
          <t>ref</t>
        </is>
      </c>
      <c r="O1009" t="n">
        <v>-15</v>
      </c>
      <c r="P1009" t="n">
        <v>0.000824</v>
      </c>
      <c r="Q1009" t="n">
        <v>45</v>
      </c>
      <c r="R1009" t="n">
        <v>0.04407</v>
      </c>
      <c r="S1009">
        <f>IMAGE("https://mitra.stanford.edu/kundaje/oak/projects/neuro-variants/variant_position/credible/roussos_2024/variant_figures/roussos_2024.childhood.Astrocyte/rs3120869_count_position.png",4,220,900)</f>
        <v/>
      </c>
      <c r="T1009">
        <f>IMAGE("https://mitra.stanford.edu/kundaje/oak/projects/neuro-variants/variant_position/credible/roussos_2024/variant_figures/roussos_2024.childhood.Astrocyte/rs3120869_profile_position.png",4,220,900)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-0.0009867780799999999</v>
      </c>
      <c r="G1010" t="n">
        <v>0.837496762236534</v>
      </c>
      <c r="H1010" t="n">
        <v>0.010904125977816</v>
      </c>
      <c r="I1010" t="n">
        <v>0.6047209296179131</v>
      </c>
      <c r="J1010" t="n">
        <v>0.0026890461251936</v>
      </c>
      <c r="K1010" t="n">
        <v>0.849846917727439</v>
      </c>
      <c r="L1010" t="b">
        <v>0</v>
      </c>
      <c r="M1010" t="b">
        <v>0</v>
      </c>
      <c r="N1010" t="inlineStr">
        <is>
          <t>ref</t>
        </is>
      </c>
      <c r="O1010" t="n">
        <v>-95</v>
      </c>
      <c r="P1010" t="n">
        <v>0.00354</v>
      </c>
      <c r="Q1010" t="n">
        <v>-95</v>
      </c>
      <c r="R1010" t="n">
        <v>0.1797</v>
      </c>
      <c r="S1010">
        <f>IMAGE("https://mitra.stanford.edu/kundaje/oak/projects/neuro-variants/variant_position/credible/roussos_2024/variant_figures/roussos_2024.childhood.Astrocyte/rs9527348_count_position.png",4,220,900)</f>
        <v/>
      </c>
      <c r="T1010">
        <f>IMAGE("https://mitra.stanford.edu/kundaje/oak/projects/neuro-variants/variant_position/credible/roussos_2024/variant_figures/roussos_2024.childhood.Astrocyte/rs9527348_profile_position.png",4,220,900)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0.1529950412</v>
      </c>
      <c r="G1011" t="n">
        <v>0.0345931317247376</v>
      </c>
      <c r="H1011" t="n">
        <v>0.0282387844251487</v>
      </c>
      <c r="I1011" t="n">
        <v>0.0378958711994488</v>
      </c>
      <c r="J1011" t="n">
        <v>0.0588185905215512</v>
      </c>
      <c r="K1011" t="n">
        <v>0.4221971478959729</v>
      </c>
      <c r="L1011" t="b">
        <v>0</v>
      </c>
      <c r="M1011" t="b">
        <v>0</v>
      </c>
      <c r="N1011" t="inlineStr">
        <is>
          <t>alt</t>
        </is>
      </c>
      <c r="O1011" t="n">
        <v>30</v>
      </c>
      <c r="P1011" t="n">
        <v>0.00885</v>
      </c>
      <c r="Q1011" t="n">
        <v>55</v>
      </c>
      <c r="R1011" t="n">
        <v>0.2375</v>
      </c>
      <c r="S1011">
        <f>IMAGE("https://mitra.stanford.edu/kundaje/oak/projects/neuro-variants/variant_position/credible/roussos_2024/variant_figures/roussos_2024.childhood.Astrocyte/rs3124390_count_position.png",4,220,900)</f>
        <v/>
      </c>
      <c r="T1011">
        <f>IMAGE("https://mitra.stanford.edu/kundaje/oak/projects/neuro-variants/variant_position/credible/roussos_2024/variant_figures/roussos_2024.childhood.Astrocyte/rs3124390_profile_position.png",4,220,900)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-0.01811261672</v>
      </c>
      <c r="G1012" t="n">
        <v>0.555623228001104</v>
      </c>
      <c r="H1012" t="n">
        <v>0.0142907410219499</v>
      </c>
      <c r="I1012" t="n">
        <v>0.3401292568730446</v>
      </c>
      <c r="J1012" t="n">
        <v>0.0415806065046979</v>
      </c>
      <c r="K1012" t="n">
        <v>0.4736275285560643</v>
      </c>
      <c r="L1012" t="b">
        <v>0</v>
      </c>
      <c r="M1012" t="b">
        <v>0</v>
      </c>
      <c r="N1012" t="inlineStr">
        <is>
          <t>ref</t>
        </is>
      </c>
      <c r="O1012" t="n">
        <v>85</v>
      </c>
      <c r="P1012" t="n">
        <v>0.02066</v>
      </c>
      <c r="Q1012" t="n">
        <v>70</v>
      </c>
      <c r="R1012" t="n">
        <v>0.03745</v>
      </c>
      <c r="S1012">
        <f>IMAGE("https://mitra.stanford.edu/kundaje/oak/projects/neuro-variants/variant_position/credible/roussos_2024/variant_figures/roussos_2024.childhood.Astrocyte/rs9537039_count_position.png",4,220,900)</f>
        <v/>
      </c>
      <c r="T1012">
        <f>IMAGE("https://mitra.stanford.edu/kundaje/oak/projects/neuro-variants/variant_position/credible/roussos_2024/variant_figures/roussos_2024.childhood.Astrocyte/rs9537039_profile_position.png",4,220,900)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0.0128090986599999</v>
      </c>
      <c r="G1013" t="n">
        <v>0.6387293415891201</v>
      </c>
      <c r="H1013" t="n">
        <v>0.0060119395114067</v>
      </c>
      <c r="I1013" t="n">
        <v>0.9783525084796172</v>
      </c>
      <c r="J1013" t="n">
        <v>0.0174700220588796</v>
      </c>
      <c r="K1013" t="n">
        <v>0.6200930139050618</v>
      </c>
      <c r="L1013" t="b">
        <v>0</v>
      </c>
      <c r="M1013" t="b">
        <v>0</v>
      </c>
      <c r="N1013" t="inlineStr">
        <is>
          <t>alt</t>
        </is>
      </c>
      <c r="O1013" t="n">
        <v>-100</v>
      </c>
      <c r="P1013" t="n">
        <v>0.005978</v>
      </c>
      <c r="Q1013" t="n">
        <v>-90</v>
      </c>
      <c r="R1013" t="n">
        <v>0.06335</v>
      </c>
      <c r="S1013">
        <f>IMAGE("https://mitra.stanford.edu/kundaje/oak/projects/neuro-variants/variant_position/credible/roussos_2024/variant_figures/roussos_2024.childhood.Astrocyte/rs3098275_count_position.png",4,220,900)</f>
        <v/>
      </c>
      <c r="T1013">
        <f>IMAGE("https://mitra.stanford.edu/kundaje/oak/projects/neuro-variants/variant_position/credible/roussos_2024/variant_figures/roussos_2024.childhood.Astrocyte/rs3098275_profile_position.png",4,220,900)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0.0521155838</v>
      </c>
      <c r="G1014" t="n">
        <v>0.2009211867046021</v>
      </c>
      <c r="H1014" t="n">
        <v>0.0105974833356368</v>
      </c>
      <c r="I1014" t="n">
        <v>0.6530021236870531</v>
      </c>
      <c r="J1014" t="n">
        <v>0.0007548869196186</v>
      </c>
      <c r="K1014" t="n">
        <v>0.9233001024473776</v>
      </c>
      <c r="L1014" t="b">
        <v>0</v>
      </c>
      <c r="M1014" t="b">
        <v>0</v>
      </c>
      <c r="N1014" t="inlineStr">
        <is>
          <t>alt</t>
        </is>
      </c>
      <c r="O1014" t="n">
        <v>-35</v>
      </c>
      <c r="P1014" t="n">
        <v>0.007362</v>
      </c>
      <c r="Q1014" t="n">
        <v>100</v>
      </c>
      <c r="R1014" t="n">
        <v>0.08966</v>
      </c>
      <c r="S1014">
        <f>IMAGE("https://mitra.stanford.edu/kundaje/oak/projects/neuro-variants/variant_position/credible/roussos_2024/variant_figures/roussos_2024.childhood.Astrocyte/rs3098269_count_position.png",4,220,900)</f>
        <v/>
      </c>
      <c r="T1014">
        <f>IMAGE("https://mitra.stanford.edu/kundaje/oak/projects/neuro-variants/variant_position/credible/roussos_2024/variant_figures/roussos_2024.childhood.Astrocyte/rs3098269_profile_position.png",4,220,900)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-0.0025517429799999</v>
      </c>
      <c r="G1015" t="n">
        <v>0.7176133680991779</v>
      </c>
      <c r="H1015" t="n">
        <v>0.0409901934464022</v>
      </c>
      <c r="I1015" t="n">
        <v>0.008961114788050501</v>
      </c>
      <c r="J1015" t="n">
        <v>0.0044598627617106</v>
      </c>
      <c r="K1015" t="n">
        <v>0.7902398102054032</v>
      </c>
      <c r="L1015" t="b">
        <v>0</v>
      </c>
      <c r="M1015" t="b">
        <v>0</v>
      </c>
      <c r="N1015" t="inlineStr">
        <is>
          <t>ref</t>
        </is>
      </c>
      <c r="O1015" t="n">
        <v>-25</v>
      </c>
      <c r="P1015" t="n">
        <v>0.002014</v>
      </c>
      <c r="Q1015" t="n">
        <v>100</v>
      </c>
      <c r="R1015" t="n">
        <v>0.09424</v>
      </c>
      <c r="S1015">
        <f>IMAGE("https://mitra.stanford.edu/kundaje/oak/projects/neuro-variants/variant_position/credible/roussos_2024/variant_figures/roussos_2024.childhood.Astrocyte/rs3098265_count_position.png",4,220,900)</f>
        <v/>
      </c>
      <c r="T1015">
        <f>IMAGE("https://mitra.stanford.edu/kundaje/oak/projects/neuro-variants/variant_position/credible/roussos_2024/variant_figures/roussos_2024.childhood.Astrocyte/rs3098265_profile_position.png",4,220,900)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0.00199509079</v>
      </c>
      <c r="G1016" t="n">
        <v>0.7381290026414012</v>
      </c>
      <c r="H1016" t="n">
        <v>0.0306323682306873</v>
      </c>
      <c r="I1016" t="n">
        <v>0.0271642721657369</v>
      </c>
      <c r="J1016" t="n">
        <v>0.0054658697991801</v>
      </c>
      <c r="K1016" t="n">
        <v>0.7855055136686653</v>
      </c>
      <c r="L1016" t="b">
        <v>0</v>
      </c>
      <c r="M1016" t="b">
        <v>0</v>
      </c>
      <c r="N1016" t="inlineStr">
        <is>
          <t>alt</t>
        </is>
      </c>
      <c r="O1016" t="n">
        <v>100</v>
      </c>
      <c r="P1016" t="n">
        <v>0.006027</v>
      </c>
      <c r="Q1016" t="n">
        <v>-55</v>
      </c>
      <c r="R1016" t="n">
        <v>0.0703</v>
      </c>
      <c r="S1016">
        <f>IMAGE("https://mitra.stanford.edu/kundaje/oak/projects/neuro-variants/variant_position/credible/roussos_2024/variant_figures/roussos_2024.childhood.Astrocyte/rs3098271_count_position.png",4,220,900)</f>
        <v/>
      </c>
      <c r="T1016">
        <f>IMAGE("https://mitra.stanford.edu/kundaje/oak/projects/neuro-variants/variant_position/credible/roussos_2024/variant_figures/roussos_2024.childhood.Astrocyte/rs3098271_profile_position.png",4,220,900)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-0.06781844400000001</v>
      </c>
      <c r="G1017" t="n">
        <v>0.1545057926080012</v>
      </c>
      <c r="H1017" t="n">
        <v>0.0194680371021603</v>
      </c>
      <c r="I1017" t="n">
        <v>0.1389962630476486</v>
      </c>
      <c r="J1017" t="n">
        <v>0.0145184065703403</v>
      </c>
      <c r="K1017" t="n">
        <v>0.6485976675760823</v>
      </c>
      <c r="L1017" t="b">
        <v>0</v>
      </c>
      <c r="M1017" t="b">
        <v>0</v>
      </c>
      <c r="N1017" t="inlineStr">
        <is>
          <t>ref</t>
        </is>
      </c>
      <c r="O1017" t="n">
        <v>-65</v>
      </c>
      <c r="P1017" t="n">
        <v>0.008803999999999999</v>
      </c>
      <c r="Q1017" t="n">
        <v>80</v>
      </c>
      <c r="R1017" t="n">
        <v>0.1437</v>
      </c>
      <c r="S1017">
        <f>IMAGE("https://mitra.stanford.edu/kundaje/oak/projects/neuro-variants/variant_position/credible/roussos_2024/variant_figures/roussos_2024.childhood.Astrocyte/rs1657205_count_position.png",4,220,900)</f>
        <v/>
      </c>
      <c r="T1017">
        <f>IMAGE("https://mitra.stanford.edu/kundaje/oak/projects/neuro-variants/variant_position/credible/roussos_2024/variant_figures/roussos_2024.childhood.Astrocyte/rs1657205_profile_position.png",4,220,900)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-0.0313298148</v>
      </c>
      <c r="G1018" t="n">
        <v>0.3734842670423881</v>
      </c>
      <c r="H1018" t="n">
        <v>0.0286621082540642</v>
      </c>
      <c r="I1018" t="n">
        <v>0.0359472651306128</v>
      </c>
      <c r="J1018" t="n">
        <v>0.0019998015464113</v>
      </c>
      <c r="K1018" t="n">
        <v>0.8589784579648969</v>
      </c>
      <c r="L1018" t="b">
        <v>0</v>
      </c>
      <c r="M1018" t="b">
        <v>0</v>
      </c>
      <c r="N1018" t="inlineStr">
        <is>
          <t>ref</t>
        </is>
      </c>
      <c r="O1018" t="n">
        <v>80</v>
      </c>
      <c r="P1018" t="n">
        <v>0.00432</v>
      </c>
      <c r="Q1018" t="n">
        <v>70</v>
      </c>
      <c r="R1018" t="n">
        <v>0.09329999999999999</v>
      </c>
      <c r="S1018">
        <f>IMAGE("https://mitra.stanford.edu/kundaje/oak/projects/neuro-variants/variant_position/credible/roussos_2024/variant_figures/roussos_2024.childhood.Astrocyte/rs3124426_count_position.png",4,220,900)</f>
        <v/>
      </c>
      <c r="T1018">
        <f>IMAGE("https://mitra.stanford.edu/kundaje/oak/projects/neuro-variants/variant_position/credible/roussos_2024/variant_figures/roussos_2024.childhood.Astrocyte/rs3124426_profile_position.png",4,220,900)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-0.00685451534</v>
      </c>
      <c r="G1019" t="n">
        <v>0.7883359205269748</v>
      </c>
      <c r="H1019" t="n">
        <v>0.030661391557879</v>
      </c>
      <c r="I1019" t="n">
        <v>0.0277271348070915</v>
      </c>
      <c r="J1019" t="n">
        <v>0.0200514452764229</v>
      </c>
      <c r="K1019" t="n">
        <v>0.5950556578376732</v>
      </c>
      <c r="L1019" t="b">
        <v>0</v>
      </c>
      <c r="M1019" t="b">
        <v>0</v>
      </c>
      <c r="N1019" t="inlineStr">
        <is>
          <t>ref</t>
        </is>
      </c>
      <c r="O1019" t="n">
        <v>95</v>
      </c>
      <c r="P1019" t="n">
        <v>0.00537</v>
      </c>
      <c r="Q1019" t="n">
        <v>-100</v>
      </c>
      <c r="R1019" t="n">
        <v>0.1951</v>
      </c>
      <c r="S1019">
        <f>IMAGE("https://mitra.stanford.edu/kundaje/oak/projects/neuro-variants/variant_position/credible/roussos_2024/variant_figures/roussos_2024.childhood.Astrocyte/rs9537096_count_position.png",4,220,900)</f>
        <v/>
      </c>
      <c r="T1019">
        <f>IMAGE("https://mitra.stanford.edu/kundaje/oak/projects/neuro-variants/variant_position/credible/roussos_2024/variant_figures/roussos_2024.childhood.Astrocyte/rs9537096_profile_position.png",4,220,900)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-0.0279830133799999</v>
      </c>
      <c r="G1020" t="n">
        <v>0.4190167814308949</v>
      </c>
      <c r="H1020" t="n">
        <v>0.0112065144421361</v>
      </c>
      <c r="I1020" t="n">
        <v>0.5975988263518548</v>
      </c>
      <c r="J1020" t="n">
        <v>0.0118102783693221</v>
      </c>
      <c r="K1020" t="n">
        <v>0.6701720738078516</v>
      </c>
      <c r="L1020" t="b">
        <v>0</v>
      </c>
      <c r="M1020" t="b">
        <v>0</v>
      </c>
      <c r="N1020" t="inlineStr">
        <is>
          <t>ref</t>
        </is>
      </c>
      <c r="O1020" t="n">
        <v>-80</v>
      </c>
      <c r="P1020" t="n">
        <v>0.05826</v>
      </c>
      <c r="Q1020" t="n">
        <v>-85</v>
      </c>
      <c r="R1020" t="n">
        <v>0.3252</v>
      </c>
      <c r="S1020">
        <f>IMAGE("https://mitra.stanford.edu/kundaje/oak/projects/neuro-variants/variant_position/credible/roussos_2024/variant_figures/roussos_2024.childhood.Astrocyte/rs4885824_count_position.png",4,220,900)</f>
        <v/>
      </c>
      <c r="T1020">
        <f>IMAGE("https://mitra.stanford.edu/kundaje/oak/projects/neuro-variants/variant_position/credible/roussos_2024/variant_figures/roussos_2024.childhood.Astrocyte/rs4885824_profile_position.png",4,220,900)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-0.0350376677999999</v>
      </c>
      <c r="G1021" t="n">
        <v>0.289797440624466</v>
      </c>
      <c r="H1021" t="n">
        <v>0.0103849377767158</v>
      </c>
      <c r="I1021" t="n">
        <v>0.6727894167790481</v>
      </c>
      <c r="J1021" t="n">
        <v>0.0343767412394189</v>
      </c>
      <c r="K1021" t="n">
        <v>0.5239440310114478</v>
      </c>
      <c r="L1021" t="b">
        <v>0</v>
      </c>
      <c r="M1021" t="b">
        <v>0</v>
      </c>
      <c r="N1021" t="inlineStr">
        <is>
          <t>ref</t>
        </is>
      </c>
      <c r="O1021" t="n">
        <v>30</v>
      </c>
      <c r="P1021" t="n">
        <v>0.005875</v>
      </c>
      <c r="Q1021" t="n">
        <v>45</v>
      </c>
      <c r="R1021" t="n">
        <v>0.1052</v>
      </c>
      <c r="S1021">
        <f>IMAGE("https://mitra.stanford.edu/kundaje/oak/projects/neuro-variants/variant_position/credible/roussos_2024/variant_figures/roussos_2024.childhood.Astrocyte/rs3124395_count_position.png",4,220,900)</f>
        <v/>
      </c>
      <c r="T1021">
        <f>IMAGE("https://mitra.stanford.edu/kundaje/oak/projects/neuro-variants/variant_position/credible/roussos_2024/variant_figures/roussos_2024.childhood.Astrocyte/rs3124395_profile_position.png",4,220,900)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0.009579006339999901</v>
      </c>
      <c r="G1022" t="n">
        <v>0.7336132673401147</v>
      </c>
      <c r="H1022" t="n">
        <v>0.0320190835899144</v>
      </c>
      <c r="I1022" t="n">
        <v>0.0232038602668559</v>
      </c>
      <c r="J1022" t="n">
        <v>0.0028836832986039</v>
      </c>
      <c r="K1022" t="n">
        <v>0.8360549175485062</v>
      </c>
      <c r="L1022" t="b">
        <v>0</v>
      </c>
      <c r="M1022" t="b">
        <v>0</v>
      </c>
      <c r="N1022" t="inlineStr">
        <is>
          <t>alt</t>
        </is>
      </c>
      <c r="O1022" t="n">
        <v>75</v>
      </c>
      <c r="P1022" t="n">
        <v>0.006973</v>
      </c>
      <c r="Q1022" t="n">
        <v>-85</v>
      </c>
      <c r="R1022" t="n">
        <v>0.07464999999999999</v>
      </c>
      <c r="S1022">
        <f>IMAGE("https://mitra.stanford.edu/kundaje/oak/projects/neuro-variants/variant_position/credible/roussos_2024/variant_figures/roussos_2024.childhood.Astrocyte/rs3105072_count_position.png",4,220,900)</f>
        <v/>
      </c>
      <c r="T1022">
        <f>IMAGE("https://mitra.stanford.edu/kundaje/oak/projects/neuro-variants/variant_position/credible/roussos_2024/variant_figures/roussos_2024.childhood.Astrocyte/rs3105072_profile_position.png",4,220,900)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0.00561945912</v>
      </c>
      <c r="G1023" t="n">
        <v>0.7842329389822047</v>
      </c>
      <c r="H1023" t="n">
        <v>0.0328061128824831</v>
      </c>
      <c r="I1023" t="n">
        <v>0.0210911423625402</v>
      </c>
      <c r="J1023" t="n">
        <v>0.0008564035630051001</v>
      </c>
      <c r="K1023" t="n">
        <v>0.91401100437617</v>
      </c>
      <c r="L1023" t="b">
        <v>0</v>
      </c>
      <c r="M1023" t="b">
        <v>0</v>
      </c>
      <c r="N1023" t="inlineStr">
        <is>
          <t>alt</t>
        </is>
      </c>
      <c r="O1023" t="n">
        <v>100</v>
      </c>
      <c r="P1023" t="n">
        <v>0.00725</v>
      </c>
      <c r="Q1023" t="n">
        <v>-50</v>
      </c>
      <c r="R1023" t="n">
        <v>0.03018</v>
      </c>
      <c r="S1023">
        <f>IMAGE("https://mitra.stanford.edu/kundaje/oak/projects/neuro-variants/variant_position/credible/roussos_2024/variant_figures/roussos_2024.childhood.Astrocyte/rs4242982_count_position.png",4,220,900)</f>
        <v/>
      </c>
      <c r="T1023">
        <f>IMAGE("https://mitra.stanford.edu/kundaje/oak/projects/neuro-variants/variant_position/credible/roussos_2024/variant_figures/roussos_2024.childhood.Astrocyte/rs4242982_profile_position.png",4,220,900)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-0.00587149326</v>
      </c>
      <c r="G1024" t="n">
        <v>0.8242548026242837</v>
      </c>
      <c r="H1024" t="n">
        <v>0.0271122099900953</v>
      </c>
      <c r="I1024" t="n">
        <v>0.0442192661614378</v>
      </c>
      <c r="J1024" t="n">
        <v>0.0003549266103363</v>
      </c>
      <c r="K1024" t="n">
        <v>0.9606847565988036</v>
      </c>
      <c r="L1024" t="b">
        <v>0</v>
      </c>
      <c r="M1024" t="b">
        <v>0</v>
      </c>
      <c r="N1024" t="inlineStr">
        <is>
          <t>ref</t>
        </is>
      </c>
      <c r="O1024" t="n">
        <v>75</v>
      </c>
      <c r="P1024" t="n">
        <v>0.00412</v>
      </c>
      <c r="Q1024" t="n">
        <v>-100</v>
      </c>
      <c r="R1024" t="n">
        <v>0.02026</v>
      </c>
      <c r="S1024">
        <f>IMAGE("https://mitra.stanford.edu/kundaje/oak/projects/neuro-variants/variant_position/credible/roussos_2024/variant_figures/roussos_2024.childhood.Astrocyte/rs3105090_count_position.png",4,220,900)</f>
        <v/>
      </c>
      <c r="T1024">
        <f>IMAGE("https://mitra.stanford.edu/kundaje/oak/projects/neuro-variants/variant_position/credible/roussos_2024/variant_figures/roussos_2024.childhood.Astrocyte/rs3105090_profile_position.png",4,220,900)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0.006410711684</v>
      </c>
      <c r="G1025" t="n">
        <v>0.7830194925393114</v>
      </c>
      <c r="H1025" t="n">
        <v>0.0084444213848199</v>
      </c>
      <c r="I1025" t="n">
        <v>0.8692291864476123</v>
      </c>
      <c r="J1025" t="n">
        <v>0.0001854777770144</v>
      </c>
      <c r="K1025" t="n">
        <v>0.9764100127977566</v>
      </c>
      <c r="L1025" t="b">
        <v>0</v>
      </c>
      <c r="M1025" t="b">
        <v>0</v>
      </c>
      <c r="N1025" t="inlineStr">
        <is>
          <t>alt</t>
        </is>
      </c>
      <c r="O1025" t="n">
        <v>-80</v>
      </c>
      <c r="P1025" t="n">
        <v>0.00694</v>
      </c>
      <c r="Q1025" t="n">
        <v>10</v>
      </c>
      <c r="R1025" t="n">
        <v>0.010864</v>
      </c>
      <c r="S1025">
        <f>IMAGE("https://mitra.stanford.edu/kundaje/oak/projects/neuro-variants/variant_position/credible/roussos_2024/variant_figures/roussos_2024.childhood.Astrocyte/rs73191591_count_position.png",4,220,900)</f>
        <v/>
      </c>
      <c r="T1025">
        <f>IMAGE("https://mitra.stanford.edu/kundaje/oak/projects/neuro-variants/variant_position/credible/roussos_2024/variant_figures/roussos_2024.childhood.Astrocyte/rs73191591_profile_position.png",4,220,900)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0.0695698584</v>
      </c>
      <c r="G1026" t="n">
        <v>0.13268888302847</v>
      </c>
      <c r="H1026" t="n">
        <v>0.0137225565047037</v>
      </c>
      <c r="I1026" t="n">
        <v>0.3789347670011036</v>
      </c>
      <c r="J1026" t="n">
        <v>0.0021570378512055</v>
      </c>
      <c r="K1026" t="n">
        <v>0.8705505760372995</v>
      </c>
      <c r="L1026" t="b">
        <v>0</v>
      </c>
      <c r="M1026" t="b">
        <v>0</v>
      </c>
      <c r="N1026" t="inlineStr">
        <is>
          <t>alt</t>
        </is>
      </c>
      <c r="O1026" t="n">
        <v>-85</v>
      </c>
      <c r="P1026" t="n">
        <v>0.008835000000000001</v>
      </c>
      <c r="Q1026" t="n">
        <v>-65</v>
      </c>
      <c r="R1026" t="n">
        <v>0.0985</v>
      </c>
      <c r="S1026">
        <f>IMAGE("https://mitra.stanford.edu/kundaje/oak/projects/neuro-variants/variant_position/credible/roussos_2024/variant_figures/roussos_2024.childhood.Astrocyte/rs73193533_count_position.png",4,220,900)</f>
        <v/>
      </c>
      <c r="T1026">
        <f>IMAGE("https://mitra.stanford.edu/kundaje/oak/projects/neuro-variants/variant_position/credible/roussos_2024/variant_figures/roussos_2024.childhood.Astrocyte/rs73193533_profile_position.png",4,220,900)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0.105635169</v>
      </c>
      <c r="G1027" t="n">
        <v>0.0627241572928648</v>
      </c>
      <c r="H1027" t="n">
        <v>0.055899538632404</v>
      </c>
      <c r="I1027" t="n">
        <v>0.0033953511917997</v>
      </c>
      <c r="J1027" t="n">
        <v>0.008181630830528201</v>
      </c>
      <c r="K1027" t="n">
        <v>0.7350838476040124</v>
      </c>
      <c r="L1027" t="b">
        <v>0</v>
      </c>
      <c r="M1027" t="b">
        <v>0</v>
      </c>
      <c r="N1027" t="inlineStr">
        <is>
          <t>alt</t>
        </is>
      </c>
      <c r="O1027" t="n">
        <v>85</v>
      </c>
      <c r="P1027" t="n">
        <v>0.00177</v>
      </c>
      <c r="Q1027" t="n">
        <v>100</v>
      </c>
      <c r="R1027" t="n">
        <v>0.1113</v>
      </c>
      <c r="S1027">
        <f>IMAGE("https://mitra.stanford.edu/kundaje/oak/projects/neuro-variants/variant_position/credible/roussos_2024/variant_figures/roussos_2024.childhood.Astrocyte/rs112311254_count_position.png",4,220,900)</f>
        <v/>
      </c>
      <c r="T1027">
        <f>IMAGE("https://mitra.stanford.edu/kundaje/oak/projects/neuro-variants/variant_position/credible/roussos_2024/variant_figures/roussos_2024.childhood.Astrocyte/rs112311254_profile_position.png",4,220,900)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0.0483384892599999</v>
      </c>
      <c r="G1028" t="n">
        <v>0.1746856679936567</v>
      </c>
      <c r="H1028" t="n">
        <v>0.0163930178055927</v>
      </c>
      <c r="I1028" t="n">
        <v>0.2500521078088933</v>
      </c>
      <c r="J1028" t="n">
        <v>0.0022119942295802</v>
      </c>
      <c r="K1028" t="n">
        <v>0.8790488270737425</v>
      </c>
      <c r="L1028" t="b">
        <v>0</v>
      </c>
      <c r="M1028" t="b">
        <v>0</v>
      </c>
      <c r="N1028" t="inlineStr">
        <is>
          <t>alt</t>
        </is>
      </c>
      <c r="O1028" t="n">
        <v>-50</v>
      </c>
      <c r="P1028" t="n">
        <v>0.002972</v>
      </c>
      <c r="Q1028" t="n">
        <v>-85</v>
      </c>
      <c r="R1028" t="n">
        <v>0.1012</v>
      </c>
      <c r="S1028">
        <f>IMAGE("https://mitra.stanford.edu/kundaje/oak/projects/neuro-variants/variant_position/credible/roussos_2024/variant_figures/roussos_2024.childhood.Astrocyte/rs611686_count_position.png",4,220,900)</f>
        <v/>
      </c>
      <c r="T1028">
        <f>IMAGE("https://mitra.stanford.edu/kundaje/oak/projects/neuro-variants/variant_position/credible/roussos_2024/variant_figures/roussos_2024.childhood.Astrocyte/rs611686_profile_position.png",4,220,900)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0.0152726654</v>
      </c>
      <c r="G1029" t="n">
        <v>0.6005340500540012</v>
      </c>
      <c r="H1029" t="n">
        <v>0.0290843642697632</v>
      </c>
      <c r="I1029" t="n">
        <v>0.0331500066081265</v>
      </c>
      <c r="J1029" t="n">
        <v>0.0017578408249562</v>
      </c>
      <c r="K1029" t="n">
        <v>0.8871018307365465</v>
      </c>
      <c r="L1029" t="b">
        <v>0</v>
      </c>
      <c r="M1029" t="b">
        <v>0</v>
      </c>
      <c r="N1029" t="inlineStr">
        <is>
          <t>alt</t>
        </is>
      </c>
      <c r="O1029" t="n">
        <v>-65</v>
      </c>
      <c r="P1029" t="n">
        <v>0.005646</v>
      </c>
      <c r="Q1029" t="n">
        <v>70</v>
      </c>
      <c r="R1029" t="n">
        <v>0.01282</v>
      </c>
      <c r="S1029">
        <f>IMAGE("https://mitra.stanford.edu/kundaje/oak/projects/neuro-variants/variant_position/credible/roussos_2024/variant_figures/roussos_2024.childhood.Astrocyte/rs73193578_count_position.png",4,220,900)</f>
        <v/>
      </c>
      <c r="T1029">
        <f>IMAGE("https://mitra.stanford.edu/kundaje/oak/projects/neuro-variants/variant_position/credible/roussos_2024/variant_figures/roussos_2024.childhood.Astrocyte/rs73193578_profile_position.png",4,220,900)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0.395134538</v>
      </c>
      <c r="G1030" t="n">
        <v>0.0023432705164757</v>
      </c>
      <c r="H1030" t="n">
        <v>0.0590971878384788</v>
      </c>
      <c r="I1030" t="n">
        <v>0.0021447027258528</v>
      </c>
      <c r="J1030" t="n">
        <v>0.1600596887331791</v>
      </c>
      <c r="K1030" t="n">
        <v>0.2465591002089728</v>
      </c>
      <c r="L1030" t="b">
        <v>1</v>
      </c>
      <c r="M1030" t="b">
        <v>1</v>
      </c>
      <c r="N1030" t="inlineStr">
        <is>
          <t>alt</t>
        </is>
      </c>
      <c r="O1030" t="n">
        <v>35</v>
      </c>
      <c r="P1030" t="n">
        <v>0.01339</v>
      </c>
      <c r="Q1030" t="n">
        <v>35</v>
      </c>
      <c r="R1030" t="n">
        <v>0.1008</v>
      </c>
      <c r="S1030">
        <f>IMAGE("https://mitra.stanford.edu/kundaje/oak/projects/neuro-variants/variant_position/credible/roussos_2024/variant_figures/roussos_2024.childhood.Astrocyte/rs517462_count_position.png",4,220,900)</f>
        <v/>
      </c>
      <c r="T1030">
        <f>IMAGE("https://mitra.stanford.edu/kundaje/oak/projects/neuro-variants/variant_position/credible/roussos_2024/variant_figures/roussos_2024.childhood.Astrocyte/rs517462_profile_position.png",4,220,900)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-0.0004011845652</v>
      </c>
      <c r="G1031" t="n">
        <v>0.929383969015012</v>
      </c>
      <c r="H1031" t="n">
        <v>0.0343143372211467</v>
      </c>
      <c r="I1031" t="n">
        <v>0.0175647142826372</v>
      </c>
      <c r="J1031" t="n">
        <v>5.724622747359796e-05</v>
      </c>
      <c r="K1031" t="n">
        <v>0.9962131491678732</v>
      </c>
      <c r="L1031" t="b">
        <v>0</v>
      </c>
      <c r="M1031" t="b">
        <v>0</v>
      </c>
      <c r="N1031" t="inlineStr">
        <is>
          <t>ref</t>
        </is>
      </c>
      <c r="O1031" t="n">
        <v>-75</v>
      </c>
      <c r="P1031" t="n">
        <v>0.02837</v>
      </c>
      <c r="Q1031" t="n">
        <v>55</v>
      </c>
      <c r="R1031" t="n">
        <v>0.12177</v>
      </c>
      <c r="S1031">
        <f>IMAGE("https://mitra.stanford.edu/kundaje/oak/projects/neuro-variants/variant_position/credible/roussos_2024/variant_figures/roussos_2024.childhood.Astrocyte/rs3121501_count_position.png",4,220,900)</f>
        <v/>
      </c>
      <c r="T1031">
        <f>IMAGE("https://mitra.stanford.edu/kundaje/oak/projects/neuro-variants/variant_position/credible/roussos_2024/variant_figures/roussos_2024.childhood.Astrocyte/rs3121501_profile_position.png",4,220,900)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-0.003506182918</v>
      </c>
      <c r="G1032" t="n">
        <v>0.8897151546088194</v>
      </c>
      <c r="H1032" t="n">
        <v>0.0360779901672357</v>
      </c>
      <c r="I1032" t="n">
        <v>0.0145141538783851</v>
      </c>
      <c r="J1032" t="n">
        <v>0.001396807950356</v>
      </c>
      <c r="K1032" t="n">
        <v>0.8890100247728636</v>
      </c>
      <c r="L1032" t="b">
        <v>0</v>
      </c>
      <c r="M1032" t="b">
        <v>0</v>
      </c>
      <c r="N1032" t="inlineStr">
        <is>
          <t>ref</t>
        </is>
      </c>
      <c r="O1032" t="n">
        <v>-80</v>
      </c>
      <c r="P1032" t="n">
        <v>0.013916</v>
      </c>
      <c r="Q1032" t="n">
        <v>60</v>
      </c>
      <c r="R1032" t="n">
        <v>0.1022</v>
      </c>
      <c r="S1032">
        <f>IMAGE("https://mitra.stanford.edu/kundaje/oak/projects/neuro-variants/variant_position/credible/roussos_2024/variant_figures/roussos_2024.childhood.Astrocyte/rs2137410_count_position.png",4,220,900)</f>
        <v/>
      </c>
      <c r="T1032">
        <f>IMAGE("https://mitra.stanford.edu/kundaje/oak/projects/neuro-variants/variant_position/credible/roussos_2024/variant_figures/roussos_2024.childhood.Astrocyte/rs2137410_profile_position.png",4,220,900)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0.0170135519999999</v>
      </c>
      <c r="G1033" t="n">
        <v>0.5674992336245178</v>
      </c>
      <c r="H1033" t="n">
        <v>0.0368905184950458</v>
      </c>
      <c r="I1033" t="n">
        <v>0.0134389994396474</v>
      </c>
      <c r="J1033" t="n">
        <v>0.07260806179539429</v>
      </c>
      <c r="K1033" t="n">
        <v>0.389035422406406</v>
      </c>
      <c r="L1033" t="b">
        <v>1</v>
      </c>
      <c r="M1033" t="b">
        <v>0</v>
      </c>
      <c r="N1033" t="inlineStr">
        <is>
          <t>alt</t>
        </is>
      </c>
      <c r="O1033" t="n">
        <v>100</v>
      </c>
      <c r="P1033" t="n">
        <v>0.012535</v>
      </c>
      <c r="Q1033" t="n">
        <v>100</v>
      </c>
      <c r="R1033" t="n">
        <v>0.2668</v>
      </c>
      <c r="S1033">
        <f>IMAGE("https://mitra.stanford.edu/kundaje/oak/projects/neuro-variants/variant_position/credible/roussos_2024/variant_figures/roussos_2024.childhood.Astrocyte/rs9569448_count_position.png",4,220,900)</f>
        <v/>
      </c>
      <c r="T1033">
        <f>IMAGE("https://mitra.stanford.edu/kundaje/oak/projects/neuro-variants/variant_position/credible/roussos_2024/variant_figures/roussos_2024.childhood.Astrocyte/rs9569448_profile_position.png",4,220,900)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-0.0824558944999999</v>
      </c>
      <c r="G1034" t="n">
        <v>0.1328526759695549</v>
      </c>
      <c r="H1034" t="n">
        <v>0.019087476902202</v>
      </c>
      <c r="I1034" t="n">
        <v>0.1687140375264442</v>
      </c>
      <c r="J1034" t="n">
        <v>0.0150542312594933</v>
      </c>
      <c r="K1034" t="n">
        <v>0.6319785242890352</v>
      </c>
      <c r="L1034" t="b">
        <v>0</v>
      </c>
      <c r="M1034" t="b">
        <v>0</v>
      </c>
      <c r="N1034" t="inlineStr">
        <is>
          <t>ref</t>
        </is>
      </c>
      <c r="O1034" t="n">
        <v>100</v>
      </c>
      <c r="P1034" t="n">
        <v>0.00855</v>
      </c>
      <c r="Q1034" t="n">
        <v>100</v>
      </c>
      <c r="R1034" t="n">
        <v>0.0333</v>
      </c>
      <c r="S1034">
        <f>IMAGE("https://mitra.stanford.edu/kundaje/oak/projects/neuro-variants/variant_position/credible/roussos_2024/variant_figures/roussos_2024.childhood.Astrocyte/rs9597389_count_position.png",4,220,900)</f>
        <v/>
      </c>
      <c r="T1034">
        <f>IMAGE("https://mitra.stanford.edu/kundaje/oak/projects/neuro-variants/variant_position/credible/roussos_2024/variant_figures/roussos_2024.childhood.Astrocyte/rs9597389_profile_position.png",4,220,900)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0.091965514</v>
      </c>
      <c r="G1035" t="n">
        <v>0.0822953422395261</v>
      </c>
      <c r="H1035" t="n">
        <v>0.0182089440956459</v>
      </c>
      <c r="I1035" t="n">
        <v>0.1784827244236201</v>
      </c>
      <c r="J1035" t="n">
        <v>0.004072878263989</v>
      </c>
      <c r="K1035" t="n">
        <v>0.8022265079543277</v>
      </c>
      <c r="L1035" t="b">
        <v>0</v>
      </c>
      <c r="M1035" t="b">
        <v>0</v>
      </c>
      <c r="N1035" t="inlineStr">
        <is>
          <t>alt</t>
        </is>
      </c>
      <c r="O1035" t="n">
        <v>-10</v>
      </c>
      <c r="P1035" t="n">
        <v>0.0004996999999999999</v>
      </c>
      <c r="Q1035" t="n">
        <v>30</v>
      </c>
      <c r="R1035" t="n">
        <v>0.093</v>
      </c>
      <c r="S1035">
        <f>IMAGE("https://mitra.stanford.edu/kundaje/oak/projects/neuro-variants/variant_position/credible/roussos_2024/variant_figures/roussos_2024.childhood.Astrocyte/rs2784002_count_position.png",4,220,900)</f>
        <v/>
      </c>
      <c r="T1035">
        <f>IMAGE("https://mitra.stanford.edu/kundaje/oak/projects/neuro-variants/variant_position/credible/roussos_2024/variant_figures/roussos_2024.childhood.Astrocyte/rs2784002_profile_position.png",4,220,900)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-0.02800740166</v>
      </c>
      <c r="G1036" t="n">
        <v>0.2547190067896376</v>
      </c>
      <c r="H1036" t="n">
        <v>0.0141311180802704</v>
      </c>
      <c r="I1036" t="n">
        <v>0.3533415240104544</v>
      </c>
      <c r="J1036" t="n">
        <v>0.1023646508361765</v>
      </c>
      <c r="K1036" t="n">
        <v>0.3201763293302536</v>
      </c>
      <c r="L1036" t="b">
        <v>0</v>
      </c>
      <c r="M1036" t="b">
        <v>0</v>
      </c>
      <c r="N1036" t="inlineStr">
        <is>
          <t>ref</t>
        </is>
      </c>
      <c r="O1036" t="n">
        <v>95</v>
      </c>
      <c r="P1036" t="n">
        <v>0.04468</v>
      </c>
      <c r="Q1036" t="n">
        <v>95</v>
      </c>
      <c r="R1036" t="n">
        <v>0.4082</v>
      </c>
      <c r="S1036">
        <f>IMAGE("https://mitra.stanford.edu/kundaje/oak/projects/neuro-variants/variant_position/credible/roussos_2024/variant_figures/roussos_2024.childhood.Astrocyte/rs9591754_count_position.png",4,220,900)</f>
        <v/>
      </c>
      <c r="T1036">
        <f>IMAGE("https://mitra.stanford.edu/kundaje/oak/projects/neuro-variants/variant_position/credible/roussos_2024/variant_figures/roussos_2024.childhood.Astrocyte/rs9591754_profile_position.png",4,220,900)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-0.0285928078799999</v>
      </c>
      <c r="G1037" t="n">
        <v>0.4049786078583415</v>
      </c>
      <c r="H1037" t="n">
        <v>0.0110491427387202</v>
      </c>
      <c r="I1037" t="n">
        <v>0.5682106156686728</v>
      </c>
      <c r="J1037" t="n">
        <v>0.0691564959202521</v>
      </c>
      <c r="K1037" t="n">
        <v>0.3880358308022549</v>
      </c>
      <c r="L1037" t="b">
        <v>0</v>
      </c>
      <c r="M1037" t="b">
        <v>0</v>
      </c>
      <c r="N1037" t="inlineStr">
        <is>
          <t>ref</t>
        </is>
      </c>
      <c r="O1037" t="n">
        <v>-85</v>
      </c>
      <c r="P1037" t="n">
        <v>0.00416</v>
      </c>
      <c r="Q1037" t="n">
        <v>5</v>
      </c>
      <c r="R1037" t="n">
        <v>0.00708</v>
      </c>
      <c r="S1037">
        <f>IMAGE("https://mitra.stanford.edu/kundaje/oak/projects/neuro-variants/variant_position/credible/roussos_2024/variant_figures/roussos_2024.childhood.Astrocyte/rs9316851_count_position.png",4,220,900)</f>
        <v/>
      </c>
      <c r="T1037">
        <f>IMAGE("https://mitra.stanford.edu/kundaje/oak/projects/neuro-variants/variant_position/credible/roussos_2024/variant_figures/roussos_2024.childhood.Astrocyte/rs9316851_profile_position.png",4,220,900)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0.227457982</v>
      </c>
      <c r="G1038" t="n">
        <v>0.0124662441681974</v>
      </c>
      <c r="H1038" t="n">
        <v>0.0314863904126535</v>
      </c>
      <c r="I1038" t="n">
        <v>0.0278697515815174</v>
      </c>
      <c r="J1038" t="n">
        <v>0.015229023074046</v>
      </c>
      <c r="K1038" t="n">
        <v>0.6671282057479883</v>
      </c>
      <c r="L1038" t="b">
        <v>1</v>
      </c>
      <c r="M1038" t="b">
        <v>0</v>
      </c>
      <c r="N1038" t="inlineStr">
        <is>
          <t>alt</t>
        </is>
      </c>
      <c r="O1038" t="n">
        <v>80</v>
      </c>
      <c r="P1038" t="n">
        <v>0.006836</v>
      </c>
      <c r="Q1038" t="n">
        <v>75</v>
      </c>
      <c r="R1038" t="n">
        <v>0.05518</v>
      </c>
      <c r="S1038">
        <f>IMAGE("https://mitra.stanford.edu/kundaje/oak/projects/neuro-variants/variant_position/credible/roussos_2024/variant_figures/roussos_2024.childhood.Astrocyte/rs59918226_count_position.png",4,220,900)</f>
        <v/>
      </c>
      <c r="T1038">
        <f>IMAGE("https://mitra.stanford.edu/kundaje/oak/projects/neuro-variants/variant_position/credible/roussos_2024/variant_figures/roussos_2024.childhood.Astrocyte/rs59918226_profile_position.png",4,220,900)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-0.0033265624799999</v>
      </c>
      <c r="G1039" t="n">
        <v>0.7872505098890765</v>
      </c>
      <c r="H1039" t="n">
        <v>0.010454460175171</v>
      </c>
      <c r="I1039" t="n">
        <v>0.6515974747050669</v>
      </c>
      <c r="J1039" t="n">
        <v>0.0025295199713005</v>
      </c>
      <c r="K1039" t="n">
        <v>0.8391301497865226</v>
      </c>
      <c r="L1039" t="b">
        <v>0</v>
      </c>
      <c r="M1039" t="b">
        <v>0</v>
      </c>
      <c r="N1039" t="inlineStr">
        <is>
          <t>ref</t>
        </is>
      </c>
      <c r="O1039" t="n">
        <v>-75</v>
      </c>
      <c r="P1039" t="n">
        <v>0.003277</v>
      </c>
      <c r="Q1039" t="n">
        <v>-85</v>
      </c>
      <c r="R1039" t="n">
        <v>0.0335</v>
      </c>
      <c r="S1039">
        <f>IMAGE("https://mitra.stanford.edu/kundaje/oak/projects/neuro-variants/variant_position/credible/roussos_2024/variant_figures/roussos_2024.childhood.Astrocyte/rs9316853_count_position.png",4,220,900)</f>
        <v/>
      </c>
      <c r="T1039">
        <f>IMAGE("https://mitra.stanford.edu/kundaje/oak/projects/neuro-variants/variant_position/credible/roussos_2024/variant_figures/roussos_2024.childhood.Astrocyte/rs9316853_profile_position.png",4,220,900)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-0.0718828453999999</v>
      </c>
      <c r="G1040" t="n">
        <v>0.1363626529112991</v>
      </c>
      <c r="H1040" t="n">
        <v>0.0178461363439584</v>
      </c>
      <c r="I1040" t="n">
        <v>0.1819910343258081</v>
      </c>
      <c r="J1040" t="n">
        <v>0.0125880637799301</v>
      </c>
      <c r="K1040" t="n">
        <v>0.6642741695215834</v>
      </c>
      <c r="L1040" t="b">
        <v>0</v>
      </c>
      <c r="M1040" t="b">
        <v>0</v>
      </c>
      <c r="N1040" t="inlineStr">
        <is>
          <t>ref</t>
        </is>
      </c>
      <c r="O1040" t="n">
        <v>-100</v>
      </c>
      <c r="P1040" t="n">
        <v>0.007034</v>
      </c>
      <c r="Q1040" t="n">
        <v>-55</v>
      </c>
      <c r="R1040" t="n">
        <v>0.0569</v>
      </c>
      <c r="S1040">
        <f>IMAGE("https://mitra.stanford.edu/kundaje/oak/projects/neuro-variants/variant_position/credible/roussos_2024/variant_figures/roussos_2024.childhood.Astrocyte/rs12872193_count_position.png",4,220,900)</f>
        <v/>
      </c>
      <c r="T1040">
        <f>IMAGE("https://mitra.stanford.edu/kundaje/oak/projects/neuro-variants/variant_position/credible/roussos_2024/variant_figures/roussos_2024.childhood.Astrocyte/rs12872193_profile_position.png",4,220,900)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-0.089243816</v>
      </c>
      <c r="G1041" t="n">
        <v>0.09386814718748079</v>
      </c>
      <c r="H1041" t="n">
        <v>0.014486775538061</v>
      </c>
      <c r="I1041" t="n">
        <v>0.3250179840601768</v>
      </c>
      <c r="J1041" t="n">
        <v>0.0430430567958904</v>
      </c>
      <c r="K1041" t="n">
        <v>0.4787353776806066</v>
      </c>
      <c r="L1041" t="b">
        <v>0</v>
      </c>
      <c r="M1041" t="b">
        <v>0</v>
      </c>
      <c r="N1041" t="inlineStr">
        <is>
          <t>ref</t>
        </is>
      </c>
      <c r="O1041" t="n">
        <v>-95</v>
      </c>
      <c r="P1041" t="n">
        <v>0.013725</v>
      </c>
      <c r="Q1041" t="n">
        <v>-95</v>
      </c>
      <c r="R1041" t="n">
        <v>0.1067</v>
      </c>
      <c r="S1041">
        <f>IMAGE("https://mitra.stanford.edu/kundaje/oak/projects/neuro-variants/variant_position/credible/roussos_2024/variant_figures/roussos_2024.childhood.Astrocyte/rs9597405_count_position.png",4,220,900)</f>
        <v/>
      </c>
      <c r="T1041">
        <f>IMAGE("https://mitra.stanford.edu/kundaje/oak/projects/neuro-variants/variant_position/credible/roussos_2024/variant_figures/roussos_2024.childhood.Astrocyte/rs9597405_profile_position.png",4,220,900)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-0.0599554434</v>
      </c>
      <c r="G1042" t="n">
        <v>0.1737288948471421</v>
      </c>
      <c r="H1042" t="n">
        <v>0.0151743350928988</v>
      </c>
      <c r="I1042" t="n">
        <v>0.2973742597174142</v>
      </c>
      <c r="J1042" t="n">
        <v>0.0180180592765603</v>
      </c>
      <c r="K1042" t="n">
        <v>0.6105646637728758</v>
      </c>
      <c r="L1042" t="b">
        <v>0</v>
      </c>
      <c r="M1042" t="b">
        <v>0</v>
      </c>
      <c r="N1042" t="inlineStr">
        <is>
          <t>ref</t>
        </is>
      </c>
      <c r="O1042" t="n">
        <v>95</v>
      </c>
      <c r="P1042" t="n">
        <v>0.00598</v>
      </c>
      <c r="Q1042" t="n">
        <v>-30</v>
      </c>
      <c r="R1042" t="n">
        <v>0.01996</v>
      </c>
      <c r="S1042">
        <f>IMAGE("https://mitra.stanford.edu/kundaje/oak/projects/neuro-variants/variant_position/credible/roussos_2024/variant_figures/roussos_2024.childhood.Astrocyte/rs4885970_count_position.png",4,220,900)</f>
        <v/>
      </c>
      <c r="T1042">
        <f>IMAGE("https://mitra.stanford.edu/kundaje/oak/projects/neuro-variants/variant_position/credible/roussos_2024/variant_figures/roussos_2024.childhood.Astrocyte/rs4885970_profile_position.png",4,220,900)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0.0027813328</v>
      </c>
      <c r="G1043" t="n">
        <v>0.8619506510953258</v>
      </c>
      <c r="H1043" t="n">
        <v>0.042303702563861</v>
      </c>
      <c r="I1043" t="n">
        <v>0.0077072037391561</v>
      </c>
      <c r="J1043" t="n">
        <v>0.0003900376298534</v>
      </c>
      <c r="K1043" t="n">
        <v>0.9606922669384556</v>
      </c>
      <c r="L1043" t="b">
        <v>0</v>
      </c>
      <c r="M1043" t="b">
        <v>0</v>
      </c>
      <c r="N1043" t="inlineStr">
        <is>
          <t>alt</t>
        </is>
      </c>
      <c r="O1043" t="n">
        <v>60</v>
      </c>
      <c r="P1043" t="n">
        <v>0.01175</v>
      </c>
      <c r="Q1043" t="n">
        <v>-70</v>
      </c>
      <c r="R1043" t="n">
        <v>0.03952</v>
      </c>
      <c r="S1043">
        <f>IMAGE("https://mitra.stanford.edu/kundaje/oak/projects/neuro-variants/variant_position/credible/roussos_2024/variant_figures/roussos_2024.childhood.Astrocyte/rs71428219_count_position.png",4,220,900)</f>
        <v/>
      </c>
      <c r="T1043">
        <f>IMAGE("https://mitra.stanford.edu/kundaje/oak/projects/neuro-variants/variant_position/credible/roussos_2024/variant_figures/roussos_2024.childhood.Astrocyte/rs71428219_profile_position.png",4,220,900)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0.0009805049300000001</v>
      </c>
      <c r="G1044" t="n">
        <v>0.9248918583773276</v>
      </c>
      <c r="H1044" t="n">
        <v>0.0315064708738237</v>
      </c>
      <c r="I1044" t="n">
        <v>0.0248376651191488</v>
      </c>
      <c r="J1044" t="n">
        <v>0.0008709059406318</v>
      </c>
      <c r="K1044" t="n">
        <v>0.9202709585851332</v>
      </c>
      <c r="L1044" t="b">
        <v>0</v>
      </c>
      <c r="M1044" t="b">
        <v>0</v>
      </c>
      <c r="N1044" t="inlineStr">
        <is>
          <t>alt</t>
        </is>
      </c>
      <c r="O1044" t="n">
        <v>65</v>
      </c>
      <c r="P1044" t="n">
        <v>0.007652</v>
      </c>
      <c r="Q1044" t="n">
        <v>-20</v>
      </c>
      <c r="R1044" t="n">
        <v>0.01994</v>
      </c>
      <c r="S1044">
        <f>IMAGE("https://mitra.stanford.edu/kundaje/oak/projects/neuro-variants/variant_position/credible/roussos_2024/variant_figures/roussos_2024.childhood.Astrocyte/rs9597412_count_position.png",4,220,900)</f>
        <v/>
      </c>
      <c r="T1044">
        <f>IMAGE("https://mitra.stanford.edu/kundaje/oak/projects/neuro-variants/variant_position/credible/roussos_2024/variant_figures/roussos_2024.childhood.Astrocyte/rs9597412_profile_position.png",4,220,900)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-0.00345453171</v>
      </c>
      <c r="G1045" t="n">
        <v>0.7189454694130226</v>
      </c>
      <c r="H1045" t="n">
        <v>0.0299680015874495</v>
      </c>
      <c r="I1045" t="n">
        <v>0.0294351442795403</v>
      </c>
      <c r="J1045" t="n">
        <v>0.0234266828482669</v>
      </c>
      <c r="K1045" t="n">
        <v>0.5778663874677642</v>
      </c>
      <c r="L1045" t="b">
        <v>0</v>
      </c>
      <c r="M1045" t="b">
        <v>0</v>
      </c>
      <c r="N1045" t="inlineStr">
        <is>
          <t>ref</t>
        </is>
      </c>
      <c r="O1045" t="n">
        <v>-100</v>
      </c>
      <c r="P1045" t="n">
        <v>0.01483</v>
      </c>
      <c r="Q1045" t="n">
        <v>10</v>
      </c>
      <c r="R1045" t="n">
        <v>0.0275</v>
      </c>
      <c r="S1045">
        <f>IMAGE("https://mitra.stanford.edu/kundaje/oak/projects/neuro-variants/variant_position/credible/roussos_2024/variant_figures/roussos_2024.childhood.Astrocyte/rs12853934_count_position.png",4,220,900)</f>
        <v/>
      </c>
      <c r="T1045">
        <f>IMAGE("https://mitra.stanford.edu/kundaje/oak/projects/neuro-variants/variant_position/credible/roussos_2024/variant_figures/roussos_2024.childhood.Astrocyte/rs12853934_profile_position.png",4,220,900)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-0.0821454258</v>
      </c>
      <c r="G1046" t="n">
        <v>0.1164371440857573</v>
      </c>
      <c r="H1046" t="n">
        <v>0.0181926294068498</v>
      </c>
      <c r="I1046" t="n">
        <v>0.1694627819300747</v>
      </c>
      <c r="J1046" t="n">
        <v>0.000573988840802</v>
      </c>
      <c r="K1046" t="n">
        <v>0.936081471593315</v>
      </c>
      <c r="L1046" t="b">
        <v>0</v>
      </c>
      <c r="M1046" t="b">
        <v>0</v>
      </c>
      <c r="N1046" t="inlineStr">
        <is>
          <t>ref</t>
        </is>
      </c>
      <c r="O1046" t="n">
        <v>10</v>
      </c>
      <c r="P1046" t="n">
        <v>0.0002518</v>
      </c>
      <c r="Q1046" t="n">
        <v>-5</v>
      </c>
      <c r="R1046" t="n">
        <v>0.0006104</v>
      </c>
      <c r="S1046">
        <f>IMAGE("https://mitra.stanford.edu/kundaje/oak/projects/neuro-variants/variant_position/credible/roussos_2024/variant_figures/roussos_2024.childhood.Astrocyte/rs13378557_count_position.png",4,220,900)</f>
        <v/>
      </c>
      <c r="T1046">
        <f>IMAGE("https://mitra.stanford.edu/kundaje/oak/projects/neuro-variants/variant_position/credible/roussos_2024/variant_figures/roussos_2024.childhood.Astrocyte/rs13378557_profile_position.png",4,220,900)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0.0559280475999999</v>
      </c>
      <c r="G1047" t="n">
        <v>0.1908087783980977</v>
      </c>
      <c r="H1047" t="n">
        <v>0.032273624804787</v>
      </c>
      <c r="I1047" t="n">
        <v>0.0220868868882586</v>
      </c>
      <c r="J1047" t="n">
        <v>0.0068061948050956</v>
      </c>
      <c r="K1047" t="n">
        <v>0.7522635316418245</v>
      </c>
      <c r="L1047" t="b">
        <v>0</v>
      </c>
      <c r="M1047" t="b">
        <v>0</v>
      </c>
      <c r="N1047" t="inlineStr">
        <is>
          <t>alt</t>
        </is>
      </c>
      <c r="O1047" t="n">
        <v>-100</v>
      </c>
      <c r="P1047" t="n">
        <v>0.0058</v>
      </c>
      <c r="Q1047" t="n">
        <v>15</v>
      </c>
      <c r="R1047" t="n">
        <v>0.0418</v>
      </c>
      <c r="S1047">
        <f>IMAGE("https://mitra.stanford.edu/kundaje/oak/projects/neuro-variants/variant_position/credible/roussos_2024/variant_figures/roussos_2024.childhood.Astrocyte/rs12874445_count_position.png",4,220,900)</f>
        <v/>
      </c>
      <c r="T1047">
        <f>IMAGE("https://mitra.stanford.edu/kundaje/oak/projects/neuro-variants/variant_position/credible/roussos_2024/variant_figures/roussos_2024.childhood.Astrocyte/rs12874445_profile_position.png",4,220,900)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-0.0042336521</v>
      </c>
      <c r="G1048" t="n">
        <v>0.7890486419664072</v>
      </c>
      <c r="H1048" t="n">
        <v>0.036751889172959</v>
      </c>
      <c r="I1048" t="n">
        <v>0.0134772685266295</v>
      </c>
      <c r="J1048" t="n">
        <v>0.0417660842817124</v>
      </c>
      <c r="K1048" t="n">
        <v>0.4837698023750373</v>
      </c>
      <c r="L1048" t="b">
        <v>1</v>
      </c>
      <c r="M1048" t="b">
        <v>0</v>
      </c>
      <c r="N1048" t="inlineStr">
        <is>
          <t>ref</t>
        </is>
      </c>
      <c r="O1048" t="n">
        <v>-15</v>
      </c>
      <c r="P1048" t="n">
        <v>0.001587</v>
      </c>
      <c r="Q1048" t="n">
        <v>-80</v>
      </c>
      <c r="R1048" t="n">
        <v>0.03232</v>
      </c>
      <c r="S1048">
        <f>IMAGE("https://mitra.stanford.edu/kundaje/oak/projects/neuro-variants/variant_position/credible/roussos_2024/variant_figures/roussos_2024.childhood.Astrocyte/rs1341548_count_position.png",4,220,900)</f>
        <v/>
      </c>
      <c r="T1048">
        <f>IMAGE("https://mitra.stanford.edu/kundaje/oak/projects/neuro-variants/variant_position/credible/roussos_2024/variant_figures/roussos_2024.childhood.Astrocyte/rs1341548_profile_position.png",4,220,900)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0.000135086238</v>
      </c>
      <c r="G1049" t="n">
        <v>0.8961798617296232</v>
      </c>
      <c r="H1049" t="n">
        <v>0.0201183610540623</v>
      </c>
      <c r="I1049" t="n">
        <v>0.1236855400672847</v>
      </c>
      <c r="J1049" t="n">
        <v>0.0014418416493019</v>
      </c>
      <c r="K1049" t="n">
        <v>0.891936015362458</v>
      </c>
      <c r="L1049" t="b">
        <v>0</v>
      </c>
      <c r="M1049" t="b">
        <v>0</v>
      </c>
      <c r="N1049" t="inlineStr">
        <is>
          <t>alt</t>
        </is>
      </c>
      <c r="O1049" t="n">
        <v>-65</v>
      </c>
      <c r="P1049" t="n">
        <v>0.1504</v>
      </c>
      <c r="Q1049" t="n">
        <v>40</v>
      </c>
      <c r="R1049" t="n">
        <v>0.09229999999999999</v>
      </c>
      <c r="S1049">
        <f>IMAGE("https://mitra.stanford.edu/kundaje/oak/projects/neuro-variants/variant_position/credible/roussos_2024/variant_figures/roussos_2024.childhood.Astrocyte/rs34927497_count_position.png",4,220,900)</f>
        <v/>
      </c>
      <c r="T1049">
        <f>IMAGE("https://mitra.stanford.edu/kundaje/oak/projects/neuro-variants/variant_position/credible/roussos_2024/variant_figures/roussos_2024.childhood.Astrocyte/rs34927497_profile_position.png",4,220,900)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-0.00839546012</v>
      </c>
      <c r="G1050" t="n">
        <v>0.7485948845161847</v>
      </c>
      <c r="H1050" t="n">
        <v>0.0248482402833714</v>
      </c>
      <c r="I1050" t="n">
        <v>0.059200043604969</v>
      </c>
      <c r="J1050" t="n">
        <v>0.0004961339714379</v>
      </c>
      <c r="K1050" t="n">
        <v>0.9442648566790196</v>
      </c>
      <c r="L1050" t="b">
        <v>0</v>
      </c>
      <c r="M1050" t="b">
        <v>0</v>
      </c>
      <c r="N1050" t="inlineStr">
        <is>
          <t>ref</t>
        </is>
      </c>
      <c r="O1050" t="n">
        <v>-40</v>
      </c>
      <c r="P1050" t="n">
        <v>0.002895</v>
      </c>
      <c r="Q1050" t="n">
        <v>35</v>
      </c>
      <c r="R1050" t="n">
        <v>0.03058</v>
      </c>
      <c r="S1050">
        <f>IMAGE("https://mitra.stanford.edu/kundaje/oak/projects/neuro-variants/variant_position/credible/roussos_2024/variant_figures/roussos_2024.childhood.Astrocyte/rs9563564_count_position.png",4,220,900)</f>
        <v/>
      </c>
      <c r="T1050">
        <f>IMAGE("https://mitra.stanford.edu/kundaje/oak/projects/neuro-variants/variant_position/credible/roussos_2024/variant_figures/roussos_2024.childhood.Astrocyte/rs9563564_profile_position.png",4,220,900)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0.01452567</v>
      </c>
      <c r="G1051" t="n">
        <v>0.501445351075492</v>
      </c>
      <c r="H1051" t="n">
        <v>0.0109125359571163</v>
      </c>
      <c r="I1051" t="n">
        <v>0.6210501142522993</v>
      </c>
      <c r="J1051" t="n">
        <v>0.0021318495111171</v>
      </c>
      <c r="K1051" t="n">
        <v>0.8616339051315074</v>
      </c>
      <c r="L1051" t="b">
        <v>0</v>
      </c>
      <c r="M1051" t="b">
        <v>0</v>
      </c>
      <c r="N1051" t="inlineStr">
        <is>
          <t>alt</t>
        </is>
      </c>
      <c r="O1051" t="n">
        <v>75</v>
      </c>
      <c r="P1051" t="n">
        <v>0.007095</v>
      </c>
      <c r="Q1051" t="n">
        <v>75</v>
      </c>
      <c r="R1051" t="n">
        <v>0.1019</v>
      </c>
      <c r="S1051">
        <f>IMAGE("https://mitra.stanford.edu/kundaje/oak/projects/neuro-variants/variant_position/credible/roussos_2024/variant_figures/roussos_2024.childhood.Astrocyte/rs9569791_count_position.png",4,220,900)</f>
        <v/>
      </c>
      <c r="T1051">
        <f>IMAGE("https://mitra.stanford.edu/kundaje/oak/projects/neuro-variants/variant_position/credible/roussos_2024/variant_figures/roussos_2024.childhood.Astrocyte/rs9569791_profile_position.png",4,220,900)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-0.07808862359999991</v>
      </c>
      <c r="G1052" t="n">
        <v>0.1145523501409611</v>
      </c>
      <c r="H1052" t="n">
        <v>0.0129699010005135</v>
      </c>
      <c r="I1052" t="n">
        <v>0.4256264064469637</v>
      </c>
      <c r="J1052" t="n">
        <v>0.0029302435636157</v>
      </c>
      <c r="K1052" t="n">
        <v>0.8398860093433411</v>
      </c>
      <c r="L1052" t="b">
        <v>0</v>
      </c>
      <c r="M1052" t="b">
        <v>0</v>
      </c>
      <c r="N1052" t="inlineStr">
        <is>
          <t>ref</t>
        </is>
      </c>
      <c r="O1052" t="n">
        <v>100</v>
      </c>
      <c r="P1052" t="n">
        <v>0.0843</v>
      </c>
      <c r="Q1052" t="n">
        <v>100</v>
      </c>
      <c r="R1052" t="n">
        <v>0.1073</v>
      </c>
      <c r="S1052">
        <f>IMAGE("https://mitra.stanford.edu/kundaje/oak/projects/neuro-variants/variant_position/credible/roussos_2024/variant_figures/roussos_2024.childhood.Astrocyte/rs9569794_count_position.png",4,220,900)</f>
        <v/>
      </c>
      <c r="T1052">
        <f>IMAGE("https://mitra.stanford.edu/kundaje/oak/projects/neuro-variants/variant_position/credible/roussos_2024/variant_figures/roussos_2024.childhood.Astrocyte/rs9569794_profile_position.png",4,220,900)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-0.0787823794</v>
      </c>
      <c r="G1053" t="n">
        <v>0.1201831740156118</v>
      </c>
      <c r="H1053" t="n">
        <v>0.0154607907255139</v>
      </c>
      <c r="I1053" t="n">
        <v>0.2830589436011423</v>
      </c>
      <c r="J1053" t="n">
        <v>0.0638936594078449</v>
      </c>
      <c r="K1053" t="n">
        <v>0.4025805847363107</v>
      </c>
      <c r="L1053" t="b">
        <v>0</v>
      </c>
      <c r="M1053" t="b">
        <v>0</v>
      </c>
      <c r="N1053" t="inlineStr">
        <is>
          <t>ref</t>
        </is>
      </c>
      <c r="O1053" t="n">
        <v>-45</v>
      </c>
      <c r="P1053" t="n">
        <v>0.005188</v>
      </c>
      <c r="Q1053" t="n">
        <v>30</v>
      </c>
      <c r="R1053" t="n">
        <v>0.02979</v>
      </c>
      <c r="S1053">
        <f>IMAGE("https://mitra.stanford.edu/kundaje/oak/projects/neuro-variants/variant_position/credible/roussos_2024/variant_figures/roussos_2024.childhood.Astrocyte/rs9316967_count_position.png",4,220,900)</f>
        <v/>
      </c>
      <c r="T1053">
        <f>IMAGE("https://mitra.stanford.edu/kundaje/oak/projects/neuro-variants/variant_position/credible/roussos_2024/variant_figures/roussos_2024.childhood.Astrocyte/rs9316967_profile_position.png",4,220,900)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0.0675746518</v>
      </c>
      <c r="G1054" t="n">
        <v>0.1537243386560084</v>
      </c>
      <c r="H1054" t="n">
        <v>0.0176757664339558</v>
      </c>
      <c r="I1054" t="n">
        <v>0.1893606576737314</v>
      </c>
      <c r="J1054" t="n">
        <v>0.0049834749223359</v>
      </c>
      <c r="K1054" t="n">
        <v>0.7902672327436843</v>
      </c>
      <c r="L1054" t="b">
        <v>0</v>
      </c>
      <c r="M1054" t="b">
        <v>0</v>
      </c>
      <c r="N1054" t="inlineStr">
        <is>
          <t>alt</t>
        </is>
      </c>
      <c r="O1054" t="n">
        <v>80</v>
      </c>
      <c r="P1054" t="n">
        <v>0.00748</v>
      </c>
      <c r="Q1054" t="n">
        <v>100</v>
      </c>
      <c r="R1054" t="n">
        <v>0.02856</v>
      </c>
      <c r="S1054">
        <f>IMAGE("https://mitra.stanford.edu/kundaje/oak/projects/neuro-variants/variant_position/credible/roussos_2024/variant_figures/roussos_2024.childhood.Astrocyte/rs9634882_count_position.png",4,220,900)</f>
        <v/>
      </c>
      <c r="T1054">
        <f>IMAGE("https://mitra.stanford.edu/kundaje/oak/projects/neuro-variants/variant_position/credible/roussos_2024/variant_figures/roussos_2024.childhood.Astrocyte/rs9634882_profile_position.png",4,220,900)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0.0453665094</v>
      </c>
      <c r="G1055" t="n">
        <v>0.250344747732045</v>
      </c>
      <c r="H1055" t="n">
        <v>0.0139160947654343</v>
      </c>
      <c r="I1055" t="n">
        <v>0.3599804909476261</v>
      </c>
      <c r="J1055" t="n">
        <v>0.0333295169181684</v>
      </c>
      <c r="K1055" t="n">
        <v>0.5313440912866063</v>
      </c>
      <c r="L1055" t="b">
        <v>0</v>
      </c>
      <c r="M1055" t="b">
        <v>0</v>
      </c>
      <c r="N1055" t="inlineStr">
        <is>
          <t>alt</t>
        </is>
      </c>
      <c r="O1055" t="n">
        <v>40</v>
      </c>
      <c r="P1055" t="n">
        <v>0.01366</v>
      </c>
      <c r="Q1055" t="n">
        <v>100</v>
      </c>
      <c r="R1055" t="n">
        <v>0.02124</v>
      </c>
      <c r="S1055">
        <f>IMAGE("https://mitra.stanford.edu/kundaje/oak/projects/neuro-variants/variant_position/credible/roussos_2024/variant_figures/roussos_2024.childhood.Astrocyte/rs11148423_count_position.png",4,220,900)</f>
        <v/>
      </c>
      <c r="T1055">
        <f>IMAGE("https://mitra.stanford.edu/kundaje/oak/projects/neuro-variants/variant_position/credible/roussos_2024/variant_figures/roussos_2024.childhood.Astrocyte/rs11148423_profile_position.png",4,220,900)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-0.099418803</v>
      </c>
      <c r="G1056" t="n">
        <v>0.0724849056946003</v>
      </c>
      <c r="H1056" t="n">
        <v>0.0305131935498446</v>
      </c>
      <c r="I1056" t="n">
        <v>0.028314889793674</v>
      </c>
      <c r="J1056" t="n">
        <v>0.0674696404173631</v>
      </c>
      <c r="K1056" t="n">
        <v>0.3972979260694625</v>
      </c>
      <c r="L1056" t="b">
        <v>0</v>
      </c>
      <c r="M1056" t="b">
        <v>0</v>
      </c>
      <c r="N1056" t="inlineStr">
        <is>
          <t>ref</t>
        </is>
      </c>
      <c r="O1056" t="n">
        <v>90</v>
      </c>
      <c r="P1056" t="n">
        <v>0.01494</v>
      </c>
      <c r="Q1056" t="n">
        <v>75</v>
      </c>
      <c r="R1056" t="n">
        <v>0.2372</v>
      </c>
      <c r="S1056">
        <f>IMAGE("https://mitra.stanford.edu/kundaje/oak/projects/neuro-variants/variant_position/credible/roussos_2024/variant_figures/roussos_2024.childhood.Astrocyte/rs7998206_count_position.png",4,220,900)</f>
        <v/>
      </c>
      <c r="T1056">
        <f>IMAGE("https://mitra.stanford.edu/kundaje/oak/projects/neuro-variants/variant_position/credible/roussos_2024/variant_figures/roussos_2024.childhood.Astrocyte/rs7998206_profile_position.png",4,220,900)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0.1082692996</v>
      </c>
      <c r="G1057" t="n">
        <v>0.0736835502774161</v>
      </c>
      <c r="H1057" t="n">
        <v>0.0135845604934579</v>
      </c>
      <c r="I1057" t="n">
        <v>0.3720179583391562</v>
      </c>
      <c r="J1057" t="n">
        <v>0.0106439818949263</v>
      </c>
      <c r="K1057" t="n">
        <v>0.6892518059784331</v>
      </c>
      <c r="L1057" t="b">
        <v>0</v>
      </c>
      <c r="M1057" t="b">
        <v>0</v>
      </c>
      <c r="N1057" t="inlineStr">
        <is>
          <t>alt</t>
        </is>
      </c>
      <c r="O1057" t="n">
        <v>100</v>
      </c>
      <c r="P1057" t="n">
        <v>0.006268</v>
      </c>
      <c r="Q1057" t="n">
        <v>40</v>
      </c>
      <c r="R1057" t="n">
        <v>0.01223</v>
      </c>
      <c r="S1057">
        <f>IMAGE("https://mitra.stanford.edu/kundaje/oak/projects/neuro-variants/variant_position/credible/roussos_2024/variant_figures/roussos_2024.childhood.Astrocyte/rs9563574_count_position.png",4,220,900)</f>
        <v/>
      </c>
      <c r="T1057">
        <f>IMAGE("https://mitra.stanford.edu/kundaje/oak/projects/neuro-variants/variant_position/credible/roussos_2024/variant_figures/roussos_2024.childhood.Astrocyte/rs9563574_profile_position.png",4,220,900)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-0.023937901</v>
      </c>
      <c r="G1058" t="n">
        <v>0.4644166433926137</v>
      </c>
      <c r="H1058" t="n">
        <v>0.0431014867706414</v>
      </c>
      <c r="I1058" t="n">
        <v>0.0071628439292358</v>
      </c>
      <c r="J1058" t="n">
        <v>0.0019921687160815</v>
      </c>
      <c r="K1058" t="n">
        <v>0.865142967764144</v>
      </c>
      <c r="L1058" t="b">
        <v>0</v>
      </c>
      <c r="M1058" t="b">
        <v>0</v>
      </c>
      <c r="N1058" t="inlineStr">
        <is>
          <t>ref</t>
        </is>
      </c>
      <c r="O1058" t="n">
        <v>100</v>
      </c>
      <c r="P1058" t="n">
        <v>0.002518</v>
      </c>
      <c r="Q1058" t="n">
        <v>-50</v>
      </c>
      <c r="R1058" t="n">
        <v>0.0368</v>
      </c>
      <c r="S1058">
        <f>IMAGE("https://mitra.stanford.edu/kundaje/oak/projects/neuro-variants/variant_position/credible/roussos_2024/variant_figures/roussos_2024.childhood.Astrocyte/rs9569815_count_position.png",4,220,900)</f>
        <v/>
      </c>
      <c r="T1058">
        <f>IMAGE("https://mitra.stanford.edu/kundaje/oak/projects/neuro-variants/variant_position/credible/roussos_2024/variant_figures/roussos_2024.childhood.Astrocyte/rs9569815_profile_position.png",4,220,900)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-0.0172285027999999</v>
      </c>
      <c r="G1059" t="n">
        <v>0.5768532395189748</v>
      </c>
      <c r="H1059" t="n">
        <v>0.0286455253466538</v>
      </c>
      <c r="I1059" t="n">
        <v>0.0356120129736986</v>
      </c>
      <c r="J1059" t="n">
        <v>0.0003724821200949</v>
      </c>
      <c r="K1059" t="n">
        <v>0.956659895032774</v>
      </c>
      <c r="L1059" t="b">
        <v>0</v>
      </c>
      <c r="M1059" t="b">
        <v>0</v>
      </c>
      <c r="N1059" t="inlineStr">
        <is>
          <t>ref</t>
        </is>
      </c>
      <c r="O1059" t="n">
        <v>-40</v>
      </c>
      <c r="P1059" t="n">
        <v>0.00716</v>
      </c>
      <c r="Q1059" t="n">
        <v>75</v>
      </c>
      <c r="R1059" t="n">
        <v>0.06469999999999999</v>
      </c>
      <c r="S1059">
        <f>IMAGE("https://mitra.stanford.edu/kundaje/oak/projects/neuro-variants/variant_position/credible/roussos_2024/variant_figures/roussos_2024.childhood.Astrocyte/rs34723208_count_position.png",4,220,900)</f>
        <v/>
      </c>
      <c r="T1059">
        <f>IMAGE("https://mitra.stanford.edu/kundaje/oak/projects/neuro-variants/variant_position/credible/roussos_2024/variant_figures/roussos_2024.childhood.Astrocyte/rs34723208_profile_position.png",4,220,900)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-0.00697822738</v>
      </c>
      <c r="G1060" t="n">
        <v>0.813491373043267</v>
      </c>
      <c r="H1060" t="n">
        <v>0.0354413505132</v>
      </c>
      <c r="I1060" t="n">
        <v>0.015644286248603</v>
      </c>
      <c r="J1060" t="n">
        <v>0.005102547075481</v>
      </c>
      <c r="K1060" t="n">
        <v>0.7871945682236455</v>
      </c>
      <c r="L1060" t="b">
        <v>0</v>
      </c>
      <c r="M1060" t="b">
        <v>0</v>
      </c>
      <c r="N1060" t="inlineStr">
        <is>
          <t>ref</t>
        </is>
      </c>
      <c r="O1060" t="n">
        <v>-55</v>
      </c>
      <c r="P1060" t="n">
        <v>0.002563</v>
      </c>
      <c r="Q1060" t="n">
        <v>-95</v>
      </c>
      <c r="R1060" t="n">
        <v>0.1523</v>
      </c>
      <c r="S1060">
        <f>IMAGE("https://mitra.stanford.edu/kundaje/oak/projects/neuro-variants/variant_position/credible/roussos_2024/variant_figures/roussos_2024.childhood.Astrocyte/rs7989885_count_position.png",4,220,900)</f>
        <v/>
      </c>
      <c r="T1060">
        <f>IMAGE("https://mitra.stanford.edu/kundaje/oak/projects/neuro-variants/variant_position/credible/roussos_2024/variant_figures/roussos_2024.childhood.Astrocyte/rs7989885_profile_position.png",4,220,900)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-0.0272796212</v>
      </c>
      <c r="G1061" t="n">
        <v>0.4240974025096808</v>
      </c>
      <c r="H1061" t="n">
        <v>0.0337794799592373</v>
      </c>
      <c r="I1061" t="n">
        <v>0.0192607285951116</v>
      </c>
      <c r="J1061" t="n">
        <v>0.035688824773114</v>
      </c>
      <c r="K1061" t="n">
        <v>0.502588532271842</v>
      </c>
      <c r="L1061" t="b">
        <v>1</v>
      </c>
      <c r="M1061" t="b">
        <v>0</v>
      </c>
      <c r="N1061" t="inlineStr">
        <is>
          <t>ref</t>
        </is>
      </c>
      <c r="O1061" t="n">
        <v>-100</v>
      </c>
      <c r="P1061" t="n">
        <v>0.02878</v>
      </c>
      <c r="Q1061" t="n">
        <v>-25</v>
      </c>
      <c r="R1061" t="n">
        <v>0.03217</v>
      </c>
      <c r="S1061">
        <f>IMAGE("https://mitra.stanford.edu/kundaje/oak/projects/neuro-variants/variant_position/credible/roussos_2024/variant_figures/roussos_2024.childhood.Astrocyte/rs4886061_count_position.png",4,220,900)</f>
        <v/>
      </c>
      <c r="T1061">
        <f>IMAGE("https://mitra.stanford.edu/kundaje/oak/projects/neuro-variants/variant_position/credible/roussos_2024/variant_figures/roussos_2024.childhood.Astrocyte/rs4886061_profile_position.png",4,220,900)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-0.0260152394</v>
      </c>
      <c r="G1062" t="n">
        <v>0.4344425274010909</v>
      </c>
      <c r="H1062" t="n">
        <v>0.0333446030676985</v>
      </c>
      <c r="I1062" t="n">
        <v>0.020291368487943</v>
      </c>
      <c r="J1062" t="n">
        <v>0.0356926411882789</v>
      </c>
      <c r="K1062" t="n">
        <v>0.5024004065210705</v>
      </c>
      <c r="L1062" t="b">
        <v>0</v>
      </c>
      <c r="M1062" t="b">
        <v>0</v>
      </c>
      <c r="N1062" t="inlineStr">
        <is>
          <t>ref</t>
        </is>
      </c>
      <c r="O1062" t="n">
        <v>-75</v>
      </c>
      <c r="P1062" t="n">
        <v>0.02771</v>
      </c>
      <c r="Q1062" t="n">
        <v>-80</v>
      </c>
      <c r="R1062" t="n">
        <v>0.03278</v>
      </c>
      <c r="S1062">
        <f>IMAGE("https://mitra.stanford.edu/kundaje/oak/projects/neuro-variants/variant_position/credible/roussos_2024/variant_figures/roussos_2024.childhood.Astrocyte/rs66514580_count_position.png",4,220,900)</f>
        <v/>
      </c>
      <c r="T1062">
        <f>IMAGE("https://mitra.stanford.edu/kundaje/oak/projects/neuro-variants/variant_position/credible/roussos_2024/variant_figures/roussos_2024.childhood.Astrocyte/rs66514580_profile_position.png",4,220,900)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0.00439955006</v>
      </c>
      <c r="G1063" t="n">
        <v>0.7925163048615146</v>
      </c>
      <c r="H1063" t="n">
        <v>0.0214692659209157</v>
      </c>
      <c r="I1063" t="n">
        <v>0.1002116682870748</v>
      </c>
      <c r="J1063" t="n">
        <v>0.0002923374016318</v>
      </c>
      <c r="K1063" t="n">
        <v>0.9651806943751076</v>
      </c>
      <c r="L1063" t="b">
        <v>0</v>
      </c>
      <c r="M1063" t="b">
        <v>0</v>
      </c>
      <c r="N1063" t="inlineStr">
        <is>
          <t>alt</t>
        </is>
      </c>
      <c r="O1063" t="n">
        <v>5</v>
      </c>
      <c r="P1063" t="n">
        <v>0.000519</v>
      </c>
      <c r="Q1063" t="n">
        <v>100</v>
      </c>
      <c r="R1063" t="n">
        <v>0.1067</v>
      </c>
      <c r="S1063">
        <f>IMAGE("https://mitra.stanford.edu/kundaje/oak/projects/neuro-variants/variant_position/credible/roussos_2024/variant_figures/roussos_2024.childhood.Astrocyte/rs4884299_count_position.png",4,220,900)</f>
        <v/>
      </c>
      <c r="T1063">
        <f>IMAGE("https://mitra.stanford.edu/kundaje/oak/projects/neuro-variants/variant_position/credible/roussos_2024/variant_figures/roussos_2024.childhood.Astrocyte/rs4884299_profile_position.png",4,220,900)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-0.0285361673999999</v>
      </c>
      <c r="G1064" t="n">
        <v>0.4087418108240797</v>
      </c>
      <c r="H1064" t="n">
        <v>0.0129818510724161</v>
      </c>
      <c r="I1064" t="n">
        <v>0.4302810616212179</v>
      </c>
      <c r="J1064" t="n">
        <v>0.0133284483219222</v>
      </c>
      <c r="K1064" t="n">
        <v>0.6686770667042952</v>
      </c>
      <c r="L1064" t="b">
        <v>0</v>
      </c>
      <c r="M1064" t="b">
        <v>0</v>
      </c>
      <c r="N1064" t="inlineStr">
        <is>
          <t>ref</t>
        </is>
      </c>
      <c r="O1064" t="n">
        <v>5</v>
      </c>
      <c r="P1064" t="n">
        <v>0.000412</v>
      </c>
      <c r="Q1064" t="n">
        <v>15</v>
      </c>
      <c r="R1064" t="n">
        <v>0.03137</v>
      </c>
      <c r="S1064">
        <f>IMAGE("https://mitra.stanford.edu/kundaje/oak/projects/neuro-variants/variant_position/credible/roussos_2024/variant_figures/roussos_2024.childhood.Astrocyte/rs56313517_count_position.png",4,220,900)</f>
        <v/>
      </c>
      <c r="T1064">
        <f>IMAGE("https://mitra.stanford.edu/kundaje/oak/projects/neuro-variants/variant_position/credible/roussos_2024/variant_figures/roussos_2024.childhood.Astrocyte/rs56313517_profile_position.png",4,220,900)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0.0742148934</v>
      </c>
      <c r="G1065" t="n">
        <v>0.122654034068909</v>
      </c>
      <c r="H1065" t="n">
        <v>0.0202423674861218</v>
      </c>
      <c r="I1065" t="n">
        <v>0.124122434926772</v>
      </c>
      <c r="J1065" t="n">
        <v>0.0033248608916671</v>
      </c>
      <c r="K1065" t="n">
        <v>0.8246599175459339</v>
      </c>
      <c r="L1065" t="b">
        <v>0</v>
      </c>
      <c r="M1065" t="b">
        <v>0</v>
      </c>
      <c r="N1065" t="inlineStr">
        <is>
          <t>alt</t>
        </is>
      </c>
      <c r="O1065" t="n">
        <v>-70</v>
      </c>
      <c r="P1065" t="n">
        <v>0.00098</v>
      </c>
      <c r="Q1065" t="n">
        <v>-5</v>
      </c>
      <c r="R1065" t="n">
        <v>0.004272</v>
      </c>
      <c r="S1065">
        <f>IMAGE("https://mitra.stanford.edu/kundaje/oak/projects/neuro-variants/variant_position/credible/roussos_2024/variant_figures/roussos_2024.childhood.Astrocyte/rs9571511_count_position.png",4,220,900)</f>
        <v/>
      </c>
      <c r="T1065">
        <f>IMAGE("https://mitra.stanford.edu/kundaje/oak/projects/neuro-variants/variant_position/credible/roussos_2024/variant_figures/roussos_2024.childhood.Astrocyte/rs9571511_profile_position.png",4,220,900)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0.2230590399999999</v>
      </c>
      <c r="G1066" t="n">
        <v>0.013206137130824</v>
      </c>
      <c r="H1066" t="n">
        <v>0.0254673584434399</v>
      </c>
      <c r="I1066" t="n">
        <v>0.0617292103638565</v>
      </c>
      <c r="J1066" t="n">
        <v>0.08034698846679331</v>
      </c>
      <c r="K1066" t="n">
        <v>0.3688078815058208</v>
      </c>
      <c r="L1066" t="b">
        <v>1</v>
      </c>
      <c r="M1066" t="b">
        <v>0</v>
      </c>
      <c r="N1066" t="inlineStr">
        <is>
          <t>alt</t>
        </is>
      </c>
      <c r="O1066" t="n">
        <v>80</v>
      </c>
      <c r="P1066" t="n">
        <v>0.003021</v>
      </c>
      <c r="Q1066" t="n">
        <v>-30</v>
      </c>
      <c r="R1066" t="n">
        <v>0.05518</v>
      </c>
      <c r="S1066">
        <f>IMAGE("https://mitra.stanford.edu/kundaje/oak/projects/neuro-variants/variant_position/credible/roussos_2024/variant_figures/roussos_2024.childhood.Astrocyte/rs9545047_count_position.png",4,220,900)</f>
        <v/>
      </c>
      <c r="T1066">
        <f>IMAGE("https://mitra.stanford.edu/kundaje/oak/projects/neuro-variants/variant_position/credible/roussos_2024/variant_figures/roussos_2024.childhood.Astrocyte/rs9545047_profile_position.png",4,220,900)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-0.0344049179999999</v>
      </c>
      <c r="G1067" t="n">
        <v>0.3445480254993689</v>
      </c>
      <c r="H1067" t="n">
        <v>0.0295856450201247</v>
      </c>
      <c r="I1067" t="n">
        <v>0.0313046898726962</v>
      </c>
      <c r="J1067" t="n">
        <v>0.0114179508903696</v>
      </c>
      <c r="K1067" t="n">
        <v>0.685121677730864</v>
      </c>
      <c r="L1067" t="b">
        <v>0</v>
      </c>
      <c r="M1067" t="b">
        <v>0</v>
      </c>
      <c r="N1067" t="inlineStr">
        <is>
          <t>ref</t>
        </is>
      </c>
      <c r="O1067" t="n">
        <v>-20</v>
      </c>
      <c r="P1067" t="n">
        <v>0.002275</v>
      </c>
      <c r="Q1067" t="n">
        <v>70</v>
      </c>
      <c r="R1067" t="n">
        <v>0.0484</v>
      </c>
      <c r="S1067">
        <f>IMAGE("https://mitra.stanford.edu/kundaje/oak/projects/neuro-variants/variant_position/credible/roussos_2024/variant_figures/roussos_2024.childhood.Astrocyte/rs9545087_count_position.png",4,220,900)</f>
        <v/>
      </c>
      <c r="T1067">
        <f>IMAGE("https://mitra.stanford.edu/kundaje/oak/projects/neuro-variants/variant_position/credible/roussos_2024/variant_figures/roussos_2024.childhood.Astrocyte/rs9545087_profile_position.png",4,220,900)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-0.0138098277599999</v>
      </c>
      <c r="G1068" t="n">
        <v>0.6627459893046114</v>
      </c>
      <c r="H1068" t="n">
        <v>0.0281847458783087</v>
      </c>
      <c r="I1068" t="n">
        <v>0.0371956327623636</v>
      </c>
      <c r="J1068" t="n">
        <v>0.0009670796027874</v>
      </c>
      <c r="K1068" t="n">
        <v>0.9080141343207234</v>
      </c>
      <c r="L1068" t="b">
        <v>0</v>
      </c>
      <c r="M1068" t="b">
        <v>0</v>
      </c>
      <c r="N1068" t="inlineStr">
        <is>
          <t>ref</t>
        </is>
      </c>
      <c r="O1068" t="n">
        <v>55</v>
      </c>
      <c r="P1068" t="n">
        <v>0.04224</v>
      </c>
      <c r="Q1068" t="n">
        <v>-100</v>
      </c>
      <c r="R1068" t="n">
        <v>0.12317</v>
      </c>
      <c r="S1068">
        <f>IMAGE("https://mitra.stanford.edu/kundaje/oak/projects/neuro-variants/variant_position/credible/roussos_2024/variant_figures/roussos_2024.childhood.Astrocyte/rs9530904_count_position.png",4,220,900)</f>
        <v/>
      </c>
      <c r="T1068">
        <f>IMAGE("https://mitra.stanford.edu/kundaje/oak/projects/neuro-variants/variant_position/credible/roussos_2024/variant_figures/roussos_2024.childhood.Astrocyte/rs9530904_profile_position.png",4,220,900)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0.0268109454</v>
      </c>
      <c r="G1069" t="n">
        <v>0.4163077700805018</v>
      </c>
      <c r="H1069" t="n">
        <v>0.0249107743604342</v>
      </c>
      <c r="I1069" t="n">
        <v>0.0601896742362568</v>
      </c>
      <c r="J1069" t="n">
        <v>0.0033683680245471</v>
      </c>
      <c r="K1069" t="n">
        <v>0.8118472035886688</v>
      </c>
      <c r="L1069" t="b">
        <v>0</v>
      </c>
      <c r="M1069" t="b">
        <v>0</v>
      </c>
      <c r="N1069" t="inlineStr">
        <is>
          <t>alt</t>
        </is>
      </c>
      <c r="O1069" t="n">
        <v>90</v>
      </c>
      <c r="P1069" t="n">
        <v>0.00949</v>
      </c>
      <c r="Q1069" t="n">
        <v>-80</v>
      </c>
      <c r="R1069" t="n">
        <v>0.07580000000000001</v>
      </c>
      <c r="S1069">
        <f>IMAGE("https://mitra.stanford.edu/kundaje/oak/projects/neuro-variants/variant_position/credible/roussos_2024/variant_figures/roussos_2024.childhood.Astrocyte/rs9545108_count_position.png",4,220,900)</f>
        <v/>
      </c>
      <c r="T1069">
        <f>IMAGE("https://mitra.stanford.edu/kundaje/oak/projects/neuro-variants/variant_position/credible/roussos_2024/variant_figures/roussos_2024.childhood.Astrocyte/rs9545108_profile_position.png",4,220,900)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-0.05801596328</v>
      </c>
      <c r="G1070" t="n">
        <v>0.1910785118745169</v>
      </c>
      <c r="H1070" t="n">
        <v>0.013974009706061</v>
      </c>
      <c r="I1070" t="n">
        <v>0.3593436851086015</v>
      </c>
      <c r="J1070" t="n">
        <v>0.1751223161060352</v>
      </c>
      <c r="K1070" t="n">
        <v>0.2343381567805732</v>
      </c>
      <c r="L1070" t="b">
        <v>0</v>
      </c>
      <c r="M1070" t="b">
        <v>0</v>
      </c>
      <c r="N1070" t="inlineStr">
        <is>
          <t>ref</t>
        </is>
      </c>
      <c r="O1070" t="n">
        <v>-15</v>
      </c>
      <c r="P1070" t="n">
        <v>0.002441</v>
      </c>
      <c r="Q1070" t="n">
        <v>100</v>
      </c>
      <c r="R1070" t="n">
        <v>0.2255</v>
      </c>
      <c r="S1070">
        <f>IMAGE("https://mitra.stanford.edu/kundaje/oak/projects/neuro-variants/variant_position/credible/roussos_2024/variant_figures/roussos_2024.childhood.Astrocyte/rs9574422_count_position.png",4,220,900)</f>
        <v/>
      </c>
      <c r="T1070">
        <f>IMAGE("https://mitra.stanford.edu/kundaje/oak/projects/neuro-variants/variant_position/credible/roussos_2024/variant_figures/roussos_2024.childhood.Astrocyte/rs9574422_profile_position.png",4,220,900)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0.0117201759</v>
      </c>
      <c r="G1071" t="n">
        <v>0.5791152450700829</v>
      </c>
      <c r="H1071" t="n">
        <v>0.0298358510287919</v>
      </c>
      <c r="I1071" t="n">
        <v>0.0313826785385398</v>
      </c>
      <c r="J1071" t="n">
        <v>0.0357216459435322</v>
      </c>
      <c r="K1071" t="n">
        <v>0.509040309578593</v>
      </c>
      <c r="L1071" t="b">
        <v>0</v>
      </c>
      <c r="M1071" t="b">
        <v>0</v>
      </c>
      <c r="N1071" t="inlineStr">
        <is>
          <t>alt</t>
        </is>
      </c>
      <c r="O1071" t="n">
        <v>-100</v>
      </c>
      <c r="P1071" t="n">
        <v>0.00438</v>
      </c>
      <c r="Q1071" t="n">
        <v>-60</v>
      </c>
      <c r="R1071" t="n">
        <v>0.0626</v>
      </c>
      <c r="S1071">
        <f>IMAGE("https://mitra.stanford.edu/kundaje/oak/projects/neuro-variants/variant_position/credible/roussos_2024/variant_figures/roussos_2024.childhood.Astrocyte/rs1840492_count_position.png",4,220,900)</f>
        <v/>
      </c>
      <c r="T1071">
        <f>IMAGE("https://mitra.stanford.edu/kundaje/oak/projects/neuro-variants/variant_position/credible/roussos_2024/variant_figures/roussos_2024.childhood.Astrocyte/rs1840492_profile_position.png",4,220,900)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-0.07849440839999999</v>
      </c>
      <c r="G1072" t="n">
        <v>0.1114629665807862</v>
      </c>
      <c r="H1072" t="n">
        <v>0.0116191305647693</v>
      </c>
      <c r="I1072" t="n">
        <v>0.5551904151024154</v>
      </c>
      <c r="J1072" t="n">
        <v>0.0083678718905756</v>
      </c>
      <c r="K1072" t="n">
        <v>0.7271172447219607</v>
      </c>
      <c r="L1072" t="b">
        <v>0</v>
      </c>
      <c r="M1072" t="b">
        <v>0</v>
      </c>
      <c r="N1072" t="inlineStr">
        <is>
          <t>ref</t>
        </is>
      </c>
      <c r="O1072" t="n">
        <v>-5</v>
      </c>
      <c r="P1072" t="n">
        <v>0.0007896</v>
      </c>
      <c r="Q1072" t="n">
        <v>-85</v>
      </c>
      <c r="R1072" t="n">
        <v>0.042</v>
      </c>
      <c r="S1072">
        <f>IMAGE("https://mitra.stanford.edu/kundaje/oak/projects/neuro-variants/variant_position/credible/roussos_2024/variant_figures/roussos_2024.childhood.Astrocyte/rs2347140_count_position.png",4,220,900)</f>
        <v/>
      </c>
      <c r="T1072">
        <f>IMAGE("https://mitra.stanford.edu/kundaje/oak/projects/neuro-variants/variant_position/credible/roussos_2024/variant_figures/roussos_2024.childhood.Astrocyte/rs2347140_profile_position.png",4,220,900)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-0.2096311759999999</v>
      </c>
      <c r="G1073" t="n">
        <v>0.015938892698959</v>
      </c>
      <c r="H1073" t="n">
        <v>0.0260921782400321</v>
      </c>
      <c r="I1073" t="n">
        <v>0.0511941080422101</v>
      </c>
      <c r="J1073" t="n">
        <v>0.0084609924205994</v>
      </c>
      <c r="K1073" t="n">
        <v>0.7165636723986445</v>
      </c>
      <c r="L1073" t="b">
        <v>1</v>
      </c>
      <c r="M1073" t="b">
        <v>0</v>
      </c>
      <c r="N1073" t="inlineStr">
        <is>
          <t>ref</t>
        </is>
      </c>
      <c r="O1073" t="n">
        <v>75</v>
      </c>
      <c r="P1073" t="n">
        <v>0.002144</v>
      </c>
      <c r="Q1073" t="n">
        <v>15</v>
      </c>
      <c r="R1073" t="n">
        <v>0.01489</v>
      </c>
      <c r="S1073">
        <f>IMAGE("https://mitra.stanford.edu/kundaje/oak/projects/neuro-variants/variant_position/credible/roussos_2024/variant_figures/roussos_2024.childhood.Astrocyte/rs396977_count_position.png",4,220,900)</f>
        <v/>
      </c>
      <c r="T1073">
        <f>IMAGE("https://mitra.stanford.edu/kundaje/oak/projects/neuro-variants/variant_position/credible/roussos_2024/variant_figures/roussos_2024.childhood.Astrocyte/rs396977_profile_position.png",4,220,900)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-0.008084463</v>
      </c>
      <c r="G1074" t="n">
        <v>0.7313130492254069</v>
      </c>
      <c r="H1074" t="n">
        <v>0.0228713447274111</v>
      </c>
      <c r="I1074" t="n">
        <v>0.08249360200839739</v>
      </c>
      <c r="J1074" t="n">
        <v>0.0004152259699418</v>
      </c>
      <c r="K1074" t="n">
        <v>0.9562913300599536</v>
      </c>
      <c r="L1074" t="b">
        <v>0</v>
      </c>
      <c r="M1074" t="b">
        <v>0</v>
      </c>
      <c r="N1074" t="inlineStr">
        <is>
          <t>ref</t>
        </is>
      </c>
      <c r="O1074" t="n">
        <v>35</v>
      </c>
      <c r="P1074" t="n">
        <v>0.01495</v>
      </c>
      <c r="Q1074" t="n">
        <v>40</v>
      </c>
      <c r="R1074" t="n">
        <v>0.05054</v>
      </c>
      <c r="S1074">
        <f>IMAGE("https://mitra.stanford.edu/kundaje/oak/projects/neuro-variants/variant_position/credible/roussos_2024/variant_figures/roussos_2024.childhood.Astrocyte/rs430275_count_position.png",4,220,900)</f>
        <v/>
      </c>
      <c r="T1074">
        <f>IMAGE("https://mitra.stanford.edu/kundaje/oak/projects/neuro-variants/variant_position/credible/roussos_2024/variant_figures/roussos_2024.childhood.Astrocyte/rs430275_profile_position.png",4,220,900)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0.0527755432</v>
      </c>
      <c r="G1075" t="n">
        <v>0.2024397653512623</v>
      </c>
      <c r="H1075" t="n">
        <v>0.0120823330510913</v>
      </c>
      <c r="I1075" t="n">
        <v>0.5071139932432727</v>
      </c>
      <c r="J1075" t="n">
        <v>0.1203834733957698</v>
      </c>
      <c r="K1075" t="n">
        <v>0.2903672831134726</v>
      </c>
      <c r="L1075" t="b">
        <v>0</v>
      </c>
      <c r="M1075" t="b">
        <v>0</v>
      </c>
      <c r="N1075" t="inlineStr">
        <is>
          <t>alt</t>
        </is>
      </c>
      <c r="O1075" t="n">
        <v>100</v>
      </c>
      <c r="P1075" t="n">
        <v>0.04352</v>
      </c>
      <c r="Q1075" t="n">
        <v>10</v>
      </c>
      <c r="R1075" t="n">
        <v>0.02881</v>
      </c>
      <c r="S1075">
        <f>IMAGE("https://mitra.stanford.edu/kundaje/oak/projects/neuro-variants/variant_position/credible/roussos_2024/variant_figures/roussos_2024.childhood.Astrocyte/rs338708_count_position.png",4,220,900)</f>
        <v/>
      </c>
      <c r="T1075">
        <f>IMAGE("https://mitra.stanford.edu/kundaje/oak/projects/neuro-variants/variant_position/credible/roussos_2024/variant_figures/roussos_2024.childhood.Astrocyte/rs338708_profile_position.png",4,220,900)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-0.00755700112</v>
      </c>
      <c r="G1076" t="n">
        <v>0.6292273963378836</v>
      </c>
      <c r="H1076" t="n">
        <v>0.0196460499911141</v>
      </c>
      <c r="I1076" t="n">
        <v>0.1351641990249277</v>
      </c>
      <c r="J1076" t="n">
        <v>0.0034454596108782</v>
      </c>
      <c r="K1076" t="n">
        <v>0.8145010246892562</v>
      </c>
      <c r="L1076" t="b">
        <v>0</v>
      </c>
      <c r="M1076" t="b">
        <v>0</v>
      </c>
      <c r="N1076" t="inlineStr">
        <is>
          <t>ref</t>
        </is>
      </c>
      <c r="O1076" t="n">
        <v>100</v>
      </c>
      <c r="P1076" t="n">
        <v>0.00971</v>
      </c>
      <c r="Q1076" t="n">
        <v>-40</v>
      </c>
      <c r="R1076" t="n">
        <v>0.03568</v>
      </c>
      <c r="S1076">
        <f>IMAGE("https://mitra.stanford.edu/kundaje/oak/projects/neuro-variants/variant_position/credible/roussos_2024/variant_figures/roussos_2024.childhood.Astrocyte/rs447791_count_position.png",4,220,900)</f>
        <v/>
      </c>
      <c r="T1076">
        <f>IMAGE("https://mitra.stanford.edu/kundaje/oak/projects/neuro-variants/variant_position/credible/roussos_2024/variant_figures/roussos_2024.childhood.Astrocyte/rs447791_profile_position.png",4,220,900)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-0.015470792</v>
      </c>
      <c r="G1077" t="n">
        <v>0.610507127980655</v>
      </c>
      <c r="H1077" t="n">
        <v>0.0379852428542891</v>
      </c>
      <c r="I1077" t="n">
        <v>0.0117271101339695</v>
      </c>
      <c r="J1077" t="n">
        <v>0.0072809568516101</v>
      </c>
      <c r="K1077" t="n">
        <v>0.7261880937064022</v>
      </c>
      <c r="L1077" t="b">
        <v>0</v>
      </c>
      <c r="M1077" t="b">
        <v>0</v>
      </c>
      <c r="N1077" t="inlineStr">
        <is>
          <t>ref</t>
        </is>
      </c>
      <c r="O1077" t="n">
        <v>-85</v>
      </c>
      <c r="P1077" t="n">
        <v>0.00357</v>
      </c>
      <c r="Q1077" t="n">
        <v>-30</v>
      </c>
      <c r="R1077" t="n">
        <v>0.0688</v>
      </c>
      <c r="S1077">
        <f>IMAGE("https://mitra.stanford.edu/kundaje/oak/projects/neuro-variants/variant_position/credible/roussos_2024/variant_figures/roussos_2024.childhood.Astrocyte/rs338704_count_position.png",4,220,900)</f>
        <v/>
      </c>
      <c r="T1077">
        <f>IMAGE("https://mitra.stanford.edu/kundaje/oak/projects/neuro-variants/variant_position/credible/roussos_2024/variant_figures/roussos_2024.childhood.Astrocyte/rs338704_profile_position.png",4,220,900)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-0.13309138</v>
      </c>
      <c r="G1078" t="n">
        <v>0.0455941356426545</v>
      </c>
      <c r="H1078" t="n">
        <v>0.0160666242247274</v>
      </c>
      <c r="I1078" t="n">
        <v>0.2627912575819396</v>
      </c>
      <c r="J1078" t="n">
        <v>0.4646790776487829</v>
      </c>
      <c r="K1078" t="n">
        <v>0.0660429676113482</v>
      </c>
      <c r="L1078" t="b">
        <v>0</v>
      </c>
      <c r="M1078" t="b">
        <v>0</v>
      </c>
      <c r="N1078" t="inlineStr">
        <is>
          <t>ref</t>
        </is>
      </c>
      <c r="O1078" t="n">
        <v>15</v>
      </c>
      <c r="P1078" t="n">
        <v>0.003708</v>
      </c>
      <c r="Q1078" t="n">
        <v>15</v>
      </c>
      <c r="R1078" t="n">
        <v>0.08450000000000001</v>
      </c>
      <c r="S1078">
        <f>IMAGE("https://mitra.stanford.edu/kundaje/oak/projects/neuro-variants/variant_position/credible/roussos_2024/variant_figures/roussos_2024.childhood.Astrocyte/rs9516115_count_position.png",4,220,900)</f>
        <v/>
      </c>
      <c r="T1078">
        <f>IMAGE("https://mitra.stanford.edu/kundaje/oak/projects/neuro-variants/variant_position/credible/roussos_2024/variant_figures/roussos_2024.childhood.Astrocyte/rs9516115_profile_position.png",4,220,900)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-0.0514083378</v>
      </c>
      <c r="G1079" t="n">
        <v>0.2188572142225832</v>
      </c>
      <c r="H1079" t="n">
        <v>0.009125007044632099</v>
      </c>
      <c r="I1079" t="n">
        <v>0.7803057080582098</v>
      </c>
      <c r="J1079" t="n">
        <v>0.0062406020776563</v>
      </c>
      <c r="K1079" t="n">
        <v>0.7467262179268263</v>
      </c>
      <c r="L1079" t="b">
        <v>0</v>
      </c>
      <c r="M1079" t="b">
        <v>0</v>
      </c>
      <c r="N1079" t="inlineStr">
        <is>
          <t>ref</t>
        </is>
      </c>
      <c r="O1079" t="n">
        <v>-55</v>
      </c>
      <c r="P1079" t="n">
        <v>0.2703</v>
      </c>
      <c r="Q1079" t="n">
        <v>-70</v>
      </c>
      <c r="R1079" t="n">
        <v>0.3281</v>
      </c>
      <c r="S1079">
        <f>IMAGE("https://mitra.stanford.edu/kundaje/oak/projects/neuro-variants/variant_position/credible/roussos_2024/variant_figures/roussos_2024.childhood.Astrocyte/rs9523786_count_position.png",4,220,900)</f>
        <v/>
      </c>
      <c r="T1079">
        <f>IMAGE("https://mitra.stanford.edu/kundaje/oak/projects/neuro-variants/variant_position/credible/roussos_2024/variant_figures/roussos_2024.childhood.Astrocyte/rs9523786_profile_position.png",4,220,900)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-0.0494200702</v>
      </c>
      <c r="G1080" t="n">
        <v>0.2239136957807106</v>
      </c>
      <c r="H1080" t="n">
        <v>0.0108246002908536</v>
      </c>
      <c r="I1080" t="n">
        <v>0.6341792694075221</v>
      </c>
      <c r="J1080" t="n">
        <v>0.0030080984329798</v>
      </c>
      <c r="K1080" t="n">
        <v>0.8379113522800887</v>
      </c>
      <c r="L1080" t="b">
        <v>0</v>
      </c>
      <c r="M1080" t="b">
        <v>0</v>
      </c>
      <c r="N1080" t="inlineStr">
        <is>
          <t>ref</t>
        </is>
      </c>
      <c r="O1080" t="n">
        <v>-100</v>
      </c>
      <c r="P1080" t="n">
        <v>0.007652</v>
      </c>
      <c r="Q1080" t="n">
        <v>-100</v>
      </c>
      <c r="R1080" t="n">
        <v>0.2363</v>
      </c>
      <c r="S1080">
        <f>IMAGE("https://mitra.stanford.edu/kundaje/oak/projects/neuro-variants/variant_position/credible/roussos_2024/variant_figures/roussos_2024.childhood.Astrocyte/rs138907830_count_position.png",4,220,900)</f>
        <v/>
      </c>
      <c r="T1080">
        <f>IMAGE("https://mitra.stanford.edu/kundaje/oak/projects/neuro-variants/variant_position/credible/roussos_2024/variant_figures/roussos_2024.childhood.Astrocyte/rs138907830_profile_position.png",4,220,900)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-0.00502213996</v>
      </c>
      <c r="G1081" t="n">
        <v>0.6762479733845335</v>
      </c>
      <c r="H1081" t="n">
        <v>0.0312124879696514</v>
      </c>
      <c r="I1081" t="n">
        <v>0.0256934527495409</v>
      </c>
      <c r="J1081" t="n">
        <v>0.0074580385152618</v>
      </c>
      <c r="K1081" t="n">
        <v>0.7269009469425812</v>
      </c>
      <c r="L1081" t="b">
        <v>0</v>
      </c>
      <c r="M1081" t="b">
        <v>0</v>
      </c>
      <c r="N1081" t="inlineStr">
        <is>
          <t>ref</t>
        </is>
      </c>
      <c r="O1081" t="n">
        <v>-100</v>
      </c>
      <c r="P1081" t="n">
        <v>0.02007</v>
      </c>
      <c r="Q1081" t="n">
        <v>-70</v>
      </c>
      <c r="R1081" t="n">
        <v>0.1047</v>
      </c>
      <c r="S1081">
        <f>IMAGE("https://mitra.stanford.edu/kundaje/oak/projects/neuro-variants/variant_position/credible/roussos_2024/variant_figures/roussos_2024.childhood.Astrocyte/rs11839843_count_position.png",4,220,900)</f>
        <v/>
      </c>
      <c r="T1081">
        <f>IMAGE("https://mitra.stanford.edu/kundaje/oak/projects/neuro-variants/variant_position/credible/roussos_2024/variant_figures/roussos_2024.childhood.Astrocyte/rs11839843_profile_position.png",4,220,900)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-0.01112504502</v>
      </c>
      <c r="G1082" t="n">
        <v>0.7007573226024494</v>
      </c>
      <c r="H1082" t="n">
        <v>0.0412051847177602</v>
      </c>
      <c r="I1082" t="n">
        <v>0.0086845037031425</v>
      </c>
      <c r="J1082" t="n">
        <v>0.0054841885919717</v>
      </c>
      <c r="K1082" t="n">
        <v>0.7625595843229576</v>
      </c>
      <c r="L1082" t="b">
        <v>0</v>
      </c>
      <c r="M1082" t="b">
        <v>0</v>
      </c>
      <c r="N1082" t="inlineStr">
        <is>
          <t>ref</t>
        </is>
      </c>
      <c r="O1082" t="n">
        <v>-100</v>
      </c>
      <c r="P1082" t="n">
        <v>0.0162</v>
      </c>
      <c r="Q1082" t="n">
        <v>100</v>
      </c>
      <c r="R1082" t="n">
        <v>0.2095</v>
      </c>
      <c r="S1082">
        <f>IMAGE("https://mitra.stanford.edu/kundaje/oak/projects/neuro-variants/variant_position/credible/roussos_2024/variant_figures/roussos_2024.childhood.Astrocyte/rs8000849_count_position.png",4,220,900)</f>
        <v/>
      </c>
      <c r="T1082">
        <f>IMAGE("https://mitra.stanford.edu/kundaje/oak/projects/neuro-variants/variant_position/credible/roussos_2024/variant_figures/roussos_2024.childhood.Astrocyte/rs8000849_profile_position.png",4,220,900)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0.0435282139999999</v>
      </c>
      <c r="G1083" t="n">
        <v>0.2476835709801141</v>
      </c>
      <c r="H1083" t="n">
        <v>0.0119114602071939</v>
      </c>
      <c r="I1083" t="n">
        <v>0.5246179841381207</v>
      </c>
      <c r="J1083" t="n">
        <v>0.0005175058963613</v>
      </c>
      <c r="K1083" t="n">
        <v>0.9375651327625968</v>
      </c>
      <c r="L1083" t="b">
        <v>0</v>
      </c>
      <c r="M1083" t="b">
        <v>0</v>
      </c>
      <c r="N1083" t="inlineStr">
        <is>
          <t>alt</t>
        </is>
      </c>
      <c r="O1083" t="n">
        <v>30</v>
      </c>
      <c r="P1083" t="n">
        <v>0.0007095</v>
      </c>
      <c r="Q1083" t="n">
        <v>0</v>
      </c>
      <c r="R1083" t="n">
        <v>0</v>
      </c>
      <c r="S1083">
        <f>IMAGE("https://mitra.stanford.edu/kundaje/oak/projects/neuro-variants/variant_position/credible/roussos_2024/variant_figures/roussos_2024.childhood.Astrocyte/rs4773928_count_position.png",4,220,900)</f>
        <v/>
      </c>
      <c r="T1083">
        <f>IMAGE("https://mitra.stanford.edu/kundaje/oak/projects/neuro-variants/variant_position/credible/roussos_2024/variant_figures/roussos_2024.childhood.Astrocyte/rs4773928_profile_position.png",4,220,900)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0.313653266</v>
      </c>
      <c r="G1084" t="n">
        <v>0.0050096993521184</v>
      </c>
      <c r="H1084" t="n">
        <v>0.0216595849445494</v>
      </c>
      <c r="I1084" t="n">
        <v>0.0991769391888996</v>
      </c>
      <c r="J1084" t="n">
        <v>0.2217528031569386</v>
      </c>
      <c r="K1084" t="n">
        <v>0.1896864900577273</v>
      </c>
      <c r="L1084" t="b">
        <v>1</v>
      </c>
      <c r="M1084" t="b">
        <v>1</v>
      </c>
      <c r="N1084" t="inlineStr">
        <is>
          <t>alt</t>
        </is>
      </c>
      <c r="O1084" t="n">
        <v>-65</v>
      </c>
      <c r="P1084" t="n">
        <v>0.00685</v>
      </c>
      <c r="Q1084" t="n">
        <v>-35</v>
      </c>
      <c r="R1084" t="n">
        <v>0.0708</v>
      </c>
      <c r="S1084">
        <f>IMAGE("https://mitra.stanford.edu/kundaje/oak/projects/neuro-variants/variant_position/credible/roussos_2024/variant_figures/roussos_2024.childhood.Astrocyte/rs6492824_count_position.png",4,220,900)</f>
        <v/>
      </c>
      <c r="T1084">
        <f>IMAGE("https://mitra.stanford.edu/kundaje/oak/projects/neuro-variants/variant_position/credible/roussos_2024/variant_figures/roussos_2024.childhood.Astrocyte/rs6492824_profile_position.png",4,220,900)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-0.00528610616</v>
      </c>
      <c r="G1085" t="n">
        <v>0.6617909420857764</v>
      </c>
      <c r="H1085" t="n">
        <v>0.009092301597355501</v>
      </c>
      <c r="I1085" t="n">
        <v>0.8022522857053805</v>
      </c>
      <c r="J1085" t="n">
        <v>0.0042408005312449</v>
      </c>
      <c r="K1085" t="n">
        <v>0.8101622379749843</v>
      </c>
      <c r="L1085" t="b">
        <v>0</v>
      </c>
      <c r="M1085" t="b">
        <v>0</v>
      </c>
      <c r="N1085" t="inlineStr">
        <is>
          <t>ref</t>
        </is>
      </c>
      <c r="O1085" t="n">
        <v>10</v>
      </c>
      <c r="P1085" t="n">
        <v>0.0004654</v>
      </c>
      <c r="Q1085" t="n">
        <v>5</v>
      </c>
      <c r="R1085" t="n">
        <v>0.00177</v>
      </c>
      <c r="S1085">
        <f>IMAGE("https://mitra.stanford.edu/kundaje/oak/projects/neuro-variants/variant_position/credible/roussos_2024/variant_figures/roussos_2024.childhood.Astrocyte/rs9561967_count_position.png",4,220,900)</f>
        <v/>
      </c>
      <c r="T1085">
        <f>IMAGE("https://mitra.stanford.edu/kundaje/oak/projects/neuro-variants/variant_position/credible/roussos_2024/variant_figures/roussos_2024.childhood.Astrocyte/rs9561967_profile_position.png",4,220,900)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0.0069175686</v>
      </c>
      <c r="G1086" t="n">
        <v>0.790463828420318</v>
      </c>
      <c r="H1086" t="n">
        <v>0.0164200156007094</v>
      </c>
      <c r="I1086" t="n">
        <v>0.2336275765829495</v>
      </c>
      <c r="J1086" t="n">
        <v>0.0068390159755138</v>
      </c>
      <c r="K1086" t="n">
        <v>0.7374181185022913</v>
      </c>
      <c r="L1086" t="b">
        <v>0</v>
      </c>
      <c r="M1086" t="b">
        <v>0</v>
      </c>
      <c r="N1086" t="inlineStr">
        <is>
          <t>alt</t>
        </is>
      </c>
      <c r="O1086" t="n">
        <v>-85</v>
      </c>
      <c r="P1086" t="n">
        <v>0.008149999999999999</v>
      </c>
      <c r="Q1086" t="n">
        <v>70</v>
      </c>
      <c r="R1086" t="n">
        <v>0.1716</v>
      </c>
      <c r="S1086">
        <f>IMAGE("https://mitra.stanford.edu/kundaje/oak/projects/neuro-variants/variant_position/credible/roussos_2024/variant_figures/roussos_2024.childhood.Astrocyte/rs11616658_count_position.png",4,220,900)</f>
        <v/>
      </c>
      <c r="T1086">
        <f>IMAGE("https://mitra.stanford.edu/kundaje/oak/projects/neuro-variants/variant_position/credible/roussos_2024/variant_figures/roussos_2024.childhood.Astrocyte/rs11616658_profile_position.png",4,220,900)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-0.00666469594</v>
      </c>
      <c r="G1087" t="n">
        <v>0.5758847485851158</v>
      </c>
      <c r="H1087" t="n">
        <v>0.01287136327791</v>
      </c>
      <c r="I1087" t="n">
        <v>0.4234341397474995</v>
      </c>
      <c r="J1087" t="n">
        <v>0.0256287543984184</v>
      </c>
      <c r="K1087" t="n">
        <v>0.5522478774170896</v>
      </c>
      <c r="L1087" t="b">
        <v>0</v>
      </c>
      <c r="M1087" t="b">
        <v>0</v>
      </c>
      <c r="N1087" t="inlineStr">
        <is>
          <t>ref</t>
        </is>
      </c>
      <c r="O1087" t="n">
        <v>50</v>
      </c>
      <c r="P1087" t="n">
        <v>0.002506</v>
      </c>
      <c r="Q1087" t="n">
        <v>-100</v>
      </c>
      <c r="R1087" t="n">
        <v>0.0835</v>
      </c>
      <c r="S1087">
        <f>IMAGE("https://mitra.stanford.edu/kundaje/oak/projects/neuro-variants/variant_position/credible/roussos_2024/variant_figures/roussos_2024.childhood.Astrocyte/rs9556505_count_position.png",4,220,900)</f>
        <v/>
      </c>
      <c r="T1087">
        <f>IMAGE("https://mitra.stanford.edu/kundaje/oak/projects/neuro-variants/variant_position/credible/roussos_2024/variant_figures/roussos_2024.childhood.Astrocyte/rs9556505_profile_position.png",4,220,900)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0.02573062304</v>
      </c>
      <c r="G1088" t="n">
        <v>0.4344849428970294</v>
      </c>
      <c r="H1088" t="n">
        <v>0.010311790016125</v>
      </c>
      <c r="I1088" t="n">
        <v>0.6881441504657722</v>
      </c>
      <c r="J1088" t="n">
        <v>0.0057001976903054</v>
      </c>
      <c r="K1088" t="n">
        <v>0.7675679866181562</v>
      </c>
      <c r="L1088" t="b">
        <v>0</v>
      </c>
      <c r="M1088" t="b">
        <v>0</v>
      </c>
      <c r="N1088" t="inlineStr">
        <is>
          <t>alt</t>
        </is>
      </c>
      <c r="O1088" t="n">
        <v>75</v>
      </c>
      <c r="P1088" t="n">
        <v>0.0767</v>
      </c>
      <c r="Q1088" t="n">
        <v>50</v>
      </c>
      <c r="R1088" t="n">
        <v>0.02777</v>
      </c>
      <c r="S1088">
        <f>IMAGE("https://mitra.stanford.edu/kundaje/oak/projects/neuro-variants/variant_position/credible/roussos_2024/variant_figures/roussos_2024.childhood.Astrocyte/rs1537030_count_position.png",4,220,900)</f>
        <v/>
      </c>
      <c r="T1088">
        <f>IMAGE("https://mitra.stanford.edu/kundaje/oak/projects/neuro-variants/variant_position/credible/roussos_2024/variant_figures/roussos_2024.childhood.Astrocyte/rs1537030_profile_position.png",4,220,900)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-0.00152566265</v>
      </c>
      <c r="G1089" t="n">
        <v>0.9198207222788728</v>
      </c>
      <c r="H1089" t="n">
        <v>0.0326224307059411</v>
      </c>
      <c r="I1089" t="n">
        <v>0.0215357005659513</v>
      </c>
      <c r="J1089" t="n">
        <v>0.0114683275705463</v>
      </c>
      <c r="K1089" t="n">
        <v>0.6781697667910821</v>
      </c>
      <c r="L1089" t="b">
        <v>0</v>
      </c>
      <c r="M1089" t="b">
        <v>0</v>
      </c>
      <c r="N1089" t="inlineStr">
        <is>
          <t>ref</t>
        </is>
      </c>
      <c r="O1089" t="n">
        <v>85</v>
      </c>
      <c r="P1089" t="n">
        <v>0.005775</v>
      </c>
      <c r="Q1089" t="n">
        <v>85</v>
      </c>
      <c r="R1089" t="n">
        <v>0.08527</v>
      </c>
      <c r="S1089">
        <f>IMAGE("https://mitra.stanford.edu/kundaje/oak/projects/neuro-variants/variant_position/credible/roussos_2024/variant_figures/roussos_2024.childhood.Astrocyte/rs35836619_count_position.png",4,220,900)</f>
        <v/>
      </c>
      <c r="T1089">
        <f>IMAGE("https://mitra.stanford.edu/kundaje/oak/projects/neuro-variants/variant_position/credible/roussos_2024/variant_figures/roussos_2024.childhood.Astrocyte/rs35836619_profile_position.png",4,220,900)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-0.0004267547199999</v>
      </c>
      <c r="G1090" t="n">
        <v>0.8042638763950753</v>
      </c>
      <c r="H1090" t="n">
        <v>0.0115852512055291</v>
      </c>
      <c r="I1090" t="n">
        <v>0.5552566456923973</v>
      </c>
      <c r="J1090" t="n">
        <v>0.2309228855151778</v>
      </c>
      <c r="K1090" t="n">
        <v>0.1806112797960682</v>
      </c>
      <c r="L1090" t="b">
        <v>0</v>
      </c>
      <c r="M1090" t="b">
        <v>0</v>
      </c>
      <c r="N1090" t="inlineStr">
        <is>
          <t>ref</t>
        </is>
      </c>
      <c r="O1090" t="n">
        <v>-100</v>
      </c>
      <c r="P1090" t="n">
        <v>0.0322</v>
      </c>
      <c r="Q1090" t="n">
        <v>-100</v>
      </c>
      <c r="R1090" t="n">
        <v>0.05933</v>
      </c>
      <c r="S1090">
        <f>IMAGE("https://mitra.stanford.edu/kundaje/oak/projects/neuro-variants/variant_position/credible/roussos_2024/variant_figures/roussos_2024.childhood.Astrocyte/rs9556506_count_position.png",4,220,900)</f>
        <v/>
      </c>
      <c r="T1090">
        <f>IMAGE("https://mitra.stanford.edu/kundaje/oak/projects/neuro-variants/variant_position/credible/roussos_2024/variant_figures/roussos_2024.childhood.Astrocyte/rs9556506_profile_position.png",4,220,900)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0.1046149758999999</v>
      </c>
      <c r="G1091" t="n">
        <v>0.087538008432807</v>
      </c>
      <c r="H1091" t="n">
        <v>0.022858220268468</v>
      </c>
      <c r="I1091" t="n">
        <v>0.0909948220775021</v>
      </c>
      <c r="J1091" t="n">
        <v>0.3181661361849587</v>
      </c>
      <c r="K1091" t="n">
        <v>0.1220860186403924</v>
      </c>
      <c r="L1091" t="b">
        <v>0</v>
      </c>
      <c r="M1091" t="b">
        <v>0</v>
      </c>
      <c r="N1091" t="inlineStr">
        <is>
          <t>alt</t>
        </is>
      </c>
      <c r="O1091" t="n">
        <v>-100</v>
      </c>
      <c r="P1091" t="n">
        <v>0.005844</v>
      </c>
      <c r="Q1091" t="n">
        <v>-25</v>
      </c>
      <c r="R1091" t="n">
        <v>0.06396</v>
      </c>
      <c r="S1091">
        <f>IMAGE("https://mitra.stanford.edu/kundaje/oak/projects/neuro-variants/variant_position/credible/roussos_2024/variant_figures/roussos_2024.childhood.Astrocyte/rs9556508_count_position.png",4,220,900)</f>
        <v/>
      </c>
      <c r="T1091">
        <f>IMAGE("https://mitra.stanford.edu/kundaje/oak/projects/neuro-variants/variant_position/credible/roussos_2024/variant_figures/roussos_2024.childhood.Astrocyte/rs9556508_profile_position.png",4,220,900)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0.0309696628</v>
      </c>
      <c r="G1092" t="n">
        <v>0.3624280975128044</v>
      </c>
      <c r="H1092" t="n">
        <v>0.0395317000404009</v>
      </c>
      <c r="I1092" t="n">
        <v>0.0100136483968081</v>
      </c>
      <c r="J1092" t="n">
        <v>0.0040278445650431</v>
      </c>
      <c r="K1092" t="n">
        <v>0.8049103860521882</v>
      </c>
      <c r="L1092" t="b">
        <v>0</v>
      </c>
      <c r="M1092" t="b">
        <v>0</v>
      </c>
      <c r="N1092" t="inlineStr">
        <is>
          <t>alt</t>
        </is>
      </c>
      <c r="O1092" t="n">
        <v>-80</v>
      </c>
      <c r="P1092" t="n">
        <v>0.009719999999999999</v>
      </c>
      <c r="Q1092" t="n">
        <v>-90</v>
      </c>
      <c r="R1092" t="n">
        <v>0.1483</v>
      </c>
      <c r="S1092">
        <f>IMAGE("https://mitra.stanford.edu/kundaje/oak/projects/neuro-variants/variant_position/credible/roussos_2024/variant_figures/roussos_2024.childhood.Astrocyte/rs1411557_count_position.png",4,220,900)</f>
        <v/>
      </c>
      <c r="T1092">
        <f>IMAGE("https://mitra.stanford.edu/kundaje/oak/projects/neuro-variants/variant_position/credible/roussos_2024/variant_figures/roussos_2024.childhood.Astrocyte/rs1411557_profile_position.png",4,220,900)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0.0252189714</v>
      </c>
      <c r="G1093" t="n">
        <v>0.4420701413088315</v>
      </c>
      <c r="H1093" t="n">
        <v>0.0279101642607501</v>
      </c>
      <c r="I1093" t="n">
        <v>0.0394571274132868</v>
      </c>
      <c r="J1093" t="n">
        <v>0.0002289849098943</v>
      </c>
      <c r="K1093" t="n">
        <v>0.971068717480598</v>
      </c>
      <c r="L1093" t="b">
        <v>0</v>
      </c>
      <c r="M1093" t="b">
        <v>0</v>
      </c>
      <c r="N1093" t="inlineStr">
        <is>
          <t>alt</t>
        </is>
      </c>
      <c r="O1093" t="n">
        <v>85</v>
      </c>
      <c r="P1093" t="n">
        <v>0.01019</v>
      </c>
      <c r="Q1093" t="n">
        <v>-80</v>
      </c>
      <c r="R1093" t="n">
        <v>0.0608</v>
      </c>
      <c r="S1093">
        <f>IMAGE("https://mitra.stanford.edu/kundaje/oak/projects/neuro-variants/variant_position/credible/roussos_2024/variant_figures/roussos_2024.childhood.Astrocyte/rs11619333_count_position.png",4,220,900)</f>
        <v/>
      </c>
      <c r="T1093">
        <f>IMAGE("https://mitra.stanford.edu/kundaje/oak/projects/neuro-variants/variant_position/credible/roussos_2024/variant_figures/roussos_2024.childhood.Astrocyte/rs11619333_profile_position.png",4,220,900)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0.015818974456</v>
      </c>
      <c r="G1094" t="n">
        <v>0.597773519354281</v>
      </c>
      <c r="H1094" t="n">
        <v>0.0112649240500432</v>
      </c>
      <c r="I1094" t="n">
        <v>0.5796017283337286</v>
      </c>
      <c r="J1094" t="n">
        <v>0.0041362307557265</v>
      </c>
      <c r="K1094" t="n">
        <v>0.7922242096115303</v>
      </c>
      <c r="L1094" t="b">
        <v>0</v>
      </c>
      <c r="M1094" t="b">
        <v>0</v>
      </c>
      <c r="N1094" t="inlineStr">
        <is>
          <t>alt</t>
        </is>
      </c>
      <c r="O1094" t="n">
        <v>100</v>
      </c>
      <c r="P1094" t="n">
        <v>0.005737</v>
      </c>
      <c r="Q1094" t="n">
        <v>-100</v>
      </c>
      <c r="R1094" t="n">
        <v>0.04138</v>
      </c>
      <c r="S1094">
        <f>IMAGE("https://mitra.stanford.edu/kundaje/oak/projects/neuro-variants/variant_position/credible/roussos_2024/variant_figures/roussos_2024.childhood.Astrocyte/rs7324957_count_position.png",4,220,900)</f>
        <v/>
      </c>
      <c r="T1094">
        <f>IMAGE("https://mitra.stanford.edu/kundaje/oak/projects/neuro-variants/variant_position/credible/roussos_2024/variant_figures/roussos_2024.childhood.Astrocyte/rs7324957_profile_position.png",4,220,900)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-0.1260558452</v>
      </c>
      <c r="G1095" t="n">
        <v>0.0475318570394469</v>
      </c>
      <c r="H1095" t="n">
        <v>0.020915660739708</v>
      </c>
      <c r="I1095" t="n">
        <v>0.1146243233013025</v>
      </c>
      <c r="J1095" t="n">
        <v>0.0307816781540762</v>
      </c>
      <c r="K1095" t="n">
        <v>0.533993460573242</v>
      </c>
      <c r="L1095" t="b">
        <v>0</v>
      </c>
      <c r="M1095" t="b">
        <v>0</v>
      </c>
      <c r="N1095" t="inlineStr">
        <is>
          <t>ref</t>
        </is>
      </c>
      <c r="O1095" t="n">
        <v>5</v>
      </c>
      <c r="P1095" t="n">
        <v>0.006805</v>
      </c>
      <c r="Q1095" t="n">
        <v>5</v>
      </c>
      <c r="R1095" t="n">
        <v>0.00757</v>
      </c>
      <c r="S1095">
        <f>IMAGE("https://mitra.stanford.edu/kundaje/oak/projects/neuro-variants/variant_position/credible/roussos_2024/variant_figures/roussos_2024.childhood.Astrocyte/rs9562005_count_position.png",4,220,900)</f>
        <v/>
      </c>
      <c r="T1095">
        <f>IMAGE("https://mitra.stanford.edu/kundaje/oak/projects/neuro-variants/variant_position/credible/roussos_2024/variant_figures/roussos_2024.childhood.Astrocyte/rs9562005_profile_position.png",4,220,900)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0.0560906494</v>
      </c>
      <c r="G1096" t="n">
        <v>0.179420958484806</v>
      </c>
      <c r="H1096" t="n">
        <v>0.0207503525390836</v>
      </c>
      <c r="I1096" t="n">
        <v>0.1157032949463051</v>
      </c>
      <c r="J1096" t="n">
        <v>0.0049972140169295</v>
      </c>
      <c r="K1096" t="n">
        <v>0.8032754243653257</v>
      </c>
      <c r="L1096" t="b">
        <v>0</v>
      </c>
      <c r="M1096" t="b">
        <v>0</v>
      </c>
      <c r="N1096" t="inlineStr">
        <is>
          <t>alt</t>
        </is>
      </c>
      <c r="O1096" t="n">
        <v>-25</v>
      </c>
      <c r="P1096" t="n">
        <v>0.000977</v>
      </c>
      <c r="Q1096" t="n">
        <v>100</v>
      </c>
      <c r="R1096" t="n">
        <v>0.04608</v>
      </c>
      <c r="S1096">
        <f>IMAGE("https://mitra.stanford.edu/kundaje/oak/projects/neuro-variants/variant_position/credible/roussos_2024/variant_figures/roussos_2024.childhood.Astrocyte/rs117227967_count_position.png",4,220,900)</f>
        <v/>
      </c>
      <c r="T1096">
        <f>IMAGE("https://mitra.stanford.edu/kundaje/oak/projects/neuro-variants/variant_position/credible/roussos_2024/variant_figures/roussos_2024.childhood.Astrocyte/rs117227967_profile_position.png",4,220,900)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0.0278649087999999</v>
      </c>
      <c r="G1097" t="n">
        <v>0.4046452077869499</v>
      </c>
      <c r="H1097" t="n">
        <v>0.0112916282737084</v>
      </c>
      <c r="I1097" t="n">
        <v>0.5874560933560456</v>
      </c>
      <c r="J1097" t="n">
        <v>0.0488295054689228</v>
      </c>
      <c r="K1097" t="n">
        <v>0.4635854161984525</v>
      </c>
      <c r="L1097" t="b">
        <v>0</v>
      </c>
      <c r="M1097" t="b">
        <v>0</v>
      </c>
      <c r="N1097" t="inlineStr">
        <is>
          <t>alt</t>
        </is>
      </c>
      <c r="O1097" t="n">
        <v>60</v>
      </c>
      <c r="P1097" t="n">
        <v>0.0226</v>
      </c>
      <c r="Q1097" t="n">
        <v>-100</v>
      </c>
      <c r="R1097" t="n">
        <v>0.05484</v>
      </c>
      <c r="S1097">
        <f>IMAGE("https://mitra.stanford.edu/kundaje/oak/projects/neuro-variants/variant_position/credible/roussos_2024/variant_figures/roussos_2024.childhood.Astrocyte/rs2026819_count_position.png",4,220,900)</f>
        <v/>
      </c>
      <c r="T1097">
        <f>IMAGE("https://mitra.stanford.edu/kundaje/oak/projects/neuro-variants/variant_position/credible/roussos_2024/variant_figures/roussos_2024.childhood.Astrocyte/rs2026819_profile_position.png",4,220,900)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0.0308334078</v>
      </c>
      <c r="G1098" t="n">
        <v>0.3707943363963781</v>
      </c>
      <c r="H1098" t="n">
        <v>0.0435988798978124</v>
      </c>
      <c r="I1098" t="n">
        <v>0.0068976771672063</v>
      </c>
      <c r="J1098" t="n">
        <v>0.0063085342675917</v>
      </c>
      <c r="K1098" t="n">
        <v>0.7443569349908411</v>
      </c>
      <c r="L1098" t="b">
        <v>0</v>
      </c>
      <c r="M1098" t="b">
        <v>0</v>
      </c>
      <c r="N1098" t="inlineStr">
        <is>
          <t>alt</t>
        </is>
      </c>
      <c r="O1098" t="n">
        <v>-90</v>
      </c>
      <c r="P1098" t="n">
        <v>0.0251</v>
      </c>
      <c r="Q1098" t="n">
        <v>-85</v>
      </c>
      <c r="R1098" t="n">
        <v>0.1865</v>
      </c>
      <c r="S1098">
        <f>IMAGE("https://mitra.stanford.edu/kundaje/oak/projects/neuro-variants/variant_position/credible/roussos_2024/variant_figures/roussos_2024.childhood.Astrocyte/rs3782990_count_position.png",4,220,900)</f>
        <v/>
      </c>
      <c r="T1098">
        <f>IMAGE("https://mitra.stanford.edu/kundaje/oak/projects/neuro-variants/variant_position/credible/roussos_2024/variant_figures/roussos_2024.childhood.Astrocyte/rs3782990_profile_position.png",4,220,900)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0.0170981941999999</v>
      </c>
      <c r="G1099" t="n">
        <v>0.1857060154328117</v>
      </c>
      <c r="H1099" t="n">
        <v>0.0360689049410567</v>
      </c>
      <c r="I1099" t="n">
        <v>0.0144992466045224</v>
      </c>
      <c r="J1099" t="n">
        <v>0.9572492806057412</v>
      </c>
      <c r="K1099" t="n">
        <v>0.0001962980425921</v>
      </c>
      <c r="L1099" t="b">
        <v>1</v>
      </c>
      <c r="M1099" t="b">
        <v>0</v>
      </c>
      <c r="N1099" t="inlineStr">
        <is>
          <t>alt</t>
        </is>
      </c>
      <c r="O1099" t="n">
        <v>-30</v>
      </c>
      <c r="P1099" t="n">
        <v>0.00769</v>
      </c>
      <c r="Q1099" t="n">
        <v>-50</v>
      </c>
      <c r="R1099" t="n">
        <v>0.04883</v>
      </c>
      <c r="S1099">
        <f>IMAGE("https://mitra.stanford.edu/kundaje/oak/projects/neuro-variants/variant_position/credible/roussos_2024/variant_figures/roussos_2024.childhood.Astrocyte/rs2277419_count_position.png",4,220,900)</f>
        <v/>
      </c>
      <c r="T1099">
        <f>IMAGE("https://mitra.stanford.edu/kundaje/oak/projects/neuro-variants/variant_position/credible/roussos_2024/variant_figures/roussos_2024.childhood.Astrocyte/rs2277419_profile_position.png",4,220,900)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-0.0082385651799999</v>
      </c>
      <c r="G1100" t="n">
        <v>0.7266070758412536</v>
      </c>
      <c r="H1100" t="n">
        <v>0.0144394124565593</v>
      </c>
      <c r="I1100" t="n">
        <v>0.332513117307443</v>
      </c>
      <c r="J1100" t="n">
        <v>0.0031897597948294</v>
      </c>
      <c r="K1100" t="n">
        <v>0.8265067654391376</v>
      </c>
      <c r="L1100" t="b">
        <v>0</v>
      </c>
      <c r="M1100" t="b">
        <v>0</v>
      </c>
      <c r="N1100" t="inlineStr">
        <is>
          <t>ref</t>
        </is>
      </c>
      <c r="O1100" t="n">
        <v>-75</v>
      </c>
      <c r="P1100" t="n">
        <v>0.00403</v>
      </c>
      <c r="Q1100" t="n">
        <v>35</v>
      </c>
      <c r="R1100" t="n">
        <v>0.0897</v>
      </c>
      <c r="S1100">
        <f>IMAGE("https://mitra.stanford.edu/kundaje/oak/projects/neuro-variants/variant_position/credible/roussos_2024/variant_figures/roussos_2024.childhood.Astrocyte/rs1854173_count_position.png",4,220,900)</f>
        <v/>
      </c>
      <c r="T1100">
        <f>IMAGE("https://mitra.stanford.edu/kundaje/oak/projects/neuro-variants/variant_position/credible/roussos_2024/variant_figures/roussos_2024.childhood.Astrocyte/rs1854173_profile_position.png",4,220,900)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0.0634903228</v>
      </c>
      <c r="G1101" t="n">
        <v>0.1695316294433158</v>
      </c>
      <c r="H1101" t="n">
        <v>0.0160469493371517</v>
      </c>
      <c r="I1101" t="n">
        <v>0.248014161327869</v>
      </c>
      <c r="J1101" t="n">
        <v>0.5662048804317129</v>
      </c>
      <c r="K1101" t="n">
        <v>0.0403234152599328</v>
      </c>
      <c r="L1101" t="b">
        <v>0</v>
      </c>
      <c r="M1101" t="b">
        <v>0</v>
      </c>
      <c r="N1101" t="inlineStr">
        <is>
          <t>alt</t>
        </is>
      </c>
      <c r="O1101" t="n">
        <v>-85</v>
      </c>
      <c r="P1101" t="n">
        <v>0.02052</v>
      </c>
      <c r="Q1101" t="n">
        <v>65</v>
      </c>
      <c r="R1101" t="n">
        <v>0.07886</v>
      </c>
      <c r="S1101">
        <f>IMAGE("https://mitra.stanford.edu/kundaje/oak/projects/neuro-variants/variant_position/credible/roussos_2024/variant_figures/roussos_2024.childhood.Astrocyte/rs11618108_count_position.png",4,220,900)</f>
        <v/>
      </c>
      <c r="T1101">
        <f>IMAGE("https://mitra.stanford.edu/kundaje/oak/projects/neuro-variants/variant_position/credible/roussos_2024/variant_figures/roussos_2024.childhood.Astrocyte/rs11618108_profile_position.png",4,220,900)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-0.0422839037999999</v>
      </c>
      <c r="G1102" t="n">
        <v>0.2751096990317318</v>
      </c>
      <c r="H1102" t="n">
        <v>0.0657275462725761</v>
      </c>
      <c r="I1102" t="n">
        <v>0.0015274305196582</v>
      </c>
      <c r="J1102" t="n">
        <v>0.0769480891209269</v>
      </c>
      <c r="K1102" t="n">
        <v>0.3696651716176861</v>
      </c>
      <c r="L1102" t="b">
        <v>1</v>
      </c>
      <c r="M1102" t="b">
        <v>1</v>
      </c>
      <c r="N1102" t="inlineStr">
        <is>
          <t>ref</t>
        </is>
      </c>
      <c r="O1102" t="n">
        <v>100</v>
      </c>
      <c r="P1102" t="n">
        <v>0.008606000000000001</v>
      </c>
      <c r="Q1102" t="n">
        <v>-95</v>
      </c>
      <c r="R1102" t="n">
        <v>0.12366</v>
      </c>
      <c r="S1102">
        <f>IMAGE("https://mitra.stanford.edu/kundaje/oak/projects/neuro-variants/variant_position/credible/roussos_2024/variant_figures/roussos_2024.childhood.Astrocyte/rs200086486_count_position.png",4,220,900)</f>
        <v/>
      </c>
      <c r="T1102">
        <f>IMAGE("https://mitra.stanford.edu/kundaje/oak/projects/neuro-variants/variant_position/credible/roussos_2024/variant_figures/roussos_2024.childhood.Astrocyte/rs200086486_profile_position.png",4,220,900)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0.1697795919999999</v>
      </c>
      <c r="G1103" t="n">
        <v>0.0294300493243285</v>
      </c>
      <c r="H1103" t="n">
        <v>0.0218902046422065</v>
      </c>
      <c r="I1103" t="n">
        <v>0.1072141657190611</v>
      </c>
      <c r="J1103" t="n">
        <v>0.0067176539732697</v>
      </c>
      <c r="K1103" t="n">
        <v>0.7460720474240708</v>
      </c>
      <c r="L1103" t="b">
        <v>0</v>
      </c>
      <c r="M1103" t="b">
        <v>0</v>
      </c>
      <c r="N1103" t="inlineStr">
        <is>
          <t>alt</t>
        </is>
      </c>
      <c r="O1103" t="n">
        <v>80</v>
      </c>
      <c r="P1103" t="n">
        <v>0.03177</v>
      </c>
      <c r="Q1103" t="n">
        <v>-50</v>
      </c>
      <c r="R1103" t="n">
        <v>0.0337</v>
      </c>
      <c r="S1103">
        <f>IMAGE("https://mitra.stanford.edu/kundaje/oak/projects/neuro-variants/variant_position/credible/roussos_2024/variant_figures/roussos_2024.childhood.Astrocyte/rs493423_count_position.png",4,220,900)</f>
        <v/>
      </c>
      <c r="T1103">
        <f>IMAGE("https://mitra.stanford.edu/kundaje/oak/projects/neuro-variants/variant_position/credible/roussos_2024/variant_figures/roussos_2024.childhood.Astrocyte/rs493423_profile_position.png",4,220,900)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0.1352042629999999</v>
      </c>
      <c r="G1104" t="n">
        <v>0.0381915588695934</v>
      </c>
      <c r="H1104" t="n">
        <v>0.0164953270651531</v>
      </c>
      <c r="I1104" t="n">
        <v>0.2282695439724383</v>
      </c>
      <c r="J1104" t="n">
        <v>0.0185935746834283</v>
      </c>
      <c r="K1104" t="n">
        <v>0.6280013691914282</v>
      </c>
      <c r="L1104" t="b">
        <v>0</v>
      </c>
      <c r="M1104" t="b">
        <v>0</v>
      </c>
      <c r="N1104" t="inlineStr">
        <is>
          <t>alt</t>
        </is>
      </c>
      <c r="O1104" t="n">
        <v>-40</v>
      </c>
      <c r="P1104" t="n">
        <v>0.00238</v>
      </c>
      <c r="Q1104" t="n">
        <v>5</v>
      </c>
      <c r="R1104" t="n">
        <v>0.00598</v>
      </c>
      <c r="S1104">
        <f>IMAGE("https://mitra.stanford.edu/kundaje/oak/projects/neuro-variants/variant_position/credible/roussos_2024/variant_figures/roussos_2024.childhood.Astrocyte/rs504340_count_position.png",4,220,900)</f>
        <v/>
      </c>
      <c r="T1104">
        <f>IMAGE("https://mitra.stanford.edu/kundaje/oak/projects/neuro-variants/variant_position/credible/roussos_2024/variant_figures/roussos_2024.childhood.Astrocyte/rs504340_profile_position.png",4,220,900)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-0.0200088016</v>
      </c>
      <c r="G1105" t="n">
        <v>0.5276547957125435</v>
      </c>
      <c r="H1105" t="n">
        <v>0.0294485808424735</v>
      </c>
      <c r="I1105" t="n">
        <v>0.0322872276142455</v>
      </c>
      <c r="J1105" t="n">
        <v>0.0441253921366581</v>
      </c>
      <c r="K1105" t="n">
        <v>0.4646305450513265</v>
      </c>
      <c r="L1105" t="b">
        <v>0</v>
      </c>
      <c r="M1105" t="b">
        <v>0</v>
      </c>
      <c r="N1105" t="inlineStr">
        <is>
          <t>ref</t>
        </is>
      </c>
      <c r="O1105" t="n">
        <v>-55</v>
      </c>
      <c r="P1105" t="n">
        <v>0.01046</v>
      </c>
      <c r="Q1105" t="n">
        <v>30</v>
      </c>
      <c r="R1105" t="n">
        <v>0.04858</v>
      </c>
      <c r="S1105">
        <f>IMAGE("https://mitra.stanford.edu/kundaje/oak/projects/neuro-variants/variant_position/credible/roussos_2024/variant_figures/roussos_2024.childhood.Astrocyte/rs1117183_count_position.png",4,220,900)</f>
        <v/>
      </c>
      <c r="T1105">
        <f>IMAGE("https://mitra.stanford.edu/kundaje/oak/projects/neuro-variants/variant_position/credible/roussos_2024/variant_figures/roussos_2024.childhood.Astrocyte/rs1117183_profile_position.png",4,220,900)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0.02425013014</v>
      </c>
      <c r="G1106" t="n">
        <v>0.4537388568693817</v>
      </c>
      <c r="H1106" t="n">
        <v>0.0502830689665197</v>
      </c>
      <c r="I1106" t="n">
        <v>0.0039725026443699</v>
      </c>
      <c r="J1106" t="n">
        <v>0.3222199323731232</v>
      </c>
      <c r="K1106" t="n">
        <v>0.1206637504486037</v>
      </c>
      <c r="L1106" t="b">
        <v>1</v>
      </c>
      <c r="M1106" t="b">
        <v>1</v>
      </c>
      <c r="N1106" t="inlineStr">
        <is>
          <t>alt</t>
        </is>
      </c>
      <c r="O1106" t="n">
        <v>-80</v>
      </c>
      <c r="P1106" t="n">
        <v>0.05786</v>
      </c>
      <c r="Q1106" t="n">
        <v>-100</v>
      </c>
      <c r="R1106" t="n">
        <v>0.3652</v>
      </c>
      <c r="S1106">
        <f>IMAGE("https://mitra.stanford.edu/kundaje/oak/projects/neuro-variants/variant_position/credible/roussos_2024/variant_figures/roussos_2024.childhood.Astrocyte/rs640357_count_position.png",4,220,900)</f>
        <v/>
      </c>
      <c r="T1106">
        <f>IMAGE("https://mitra.stanford.edu/kundaje/oak/projects/neuro-variants/variant_position/credible/roussos_2024/variant_figures/roussos_2024.childhood.Astrocyte/rs640357_profile_position.png",4,220,900)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0.068752652</v>
      </c>
      <c r="G1107" t="n">
        <v>0.1326698898463249</v>
      </c>
      <c r="H1107" t="n">
        <v>0.0123058317009492</v>
      </c>
      <c r="I1107" t="n">
        <v>0.4875568360308846</v>
      </c>
      <c r="J1107" t="n">
        <v>0.0309702090632226</v>
      </c>
      <c r="K1107" t="n">
        <v>0.5366010995125525</v>
      </c>
      <c r="L1107" t="b">
        <v>0</v>
      </c>
      <c r="M1107" t="b">
        <v>0</v>
      </c>
      <c r="N1107" t="inlineStr">
        <is>
          <t>alt</t>
        </is>
      </c>
      <c r="O1107" t="n">
        <v>100</v>
      </c>
      <c r="P1107" t="n">
        <v>0.0703</v>
      </c>
      <c r="Q1107" t="n">
        <v>-20</v>
      </c>
      <c r="R1107" t="n">
        <v>0.03687</v>
      </c>
      <c r="S1107">
        <f>IMAGE("https://mitra.stanford.edu/kundaje/oak/projects/neuro-variants/variant_position/credible/roussos_2024/variant_figures/roussos_2024.childhood.Astrocyte/rs16951630_count_position.png",4,220,900)</f>
        <v/>
      </c>
      <c r="T1107">
        <f>IMAGE("https://mitra.stanford.edu/kundaje/oak/projects/neuro-variants/variant_position/credible/roussos_2024/variant_figures/roussos_2024.childhood.Astrocyte/rs16951630_profile_position.png",4,220,900)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-0.02398228946</v>
      </c>
      <c r="G1108" t="n">
        <v>0.4620965907229315</v>
      </c>
      <c r="H1108" t="n">
        <v>0.007851280955781401</v>
      </c>
      <c r="I1108" t="n">
        <v>0.8697899600881058</v>
      </c>
      <c r="J1108" t="n">
        <v>0.0001160190210131</v>
      </c>
      <c r="K1108" t="n">
        <v>0.987790479484386</v>
      </c>
      <c r="L1108" t="b">
        <v>0</v>
      </c>
      <c r="M1108" t="b">
        <v>0</v>
      </c>
      <c r="N1108" t="inlineStr">
        <is>
          <t>ref</t>
        </is>
      </c>
      <c r="O1108" t="n">
        <v>100</v>
      </c>
      <c r="P1108" t="n">
        <v>0.0182</v>
      </c>
      <c r="Q1108" t="n">
        <v>100</v>
      </c>
      <c r="R1108" t="n">
        <v>0.042</v>
      </c>
      <c r="S1108">
        <f>IMAGE("https://mitra.stanford.edu/kundaje/oak/projects/neuro-variants/variant_position/credible/roussos_2024/variant_figures/roussos_2024.childhood.Astrocyte/rs9590371_count_position.png",4,220,900)</f>
        <v/>
      </c>
      <c r="T1108">
        <f>IMAGE("https://mitra.stanford.edu/kundaje/oak/projects/neuro-variants/variant_position/credible/roussos_2024/variant_figures/roussos_2024.childhood.Astrocyte/rs9590371_profile_position.png",4,220,900)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0.0231909709999999</v>
      </c>
      <c r="G1109" t="n">
        <v>0.4780260525529698</v>
      </c>
      <c r="H1109" t="n">
        <v>0.014054608590658</v>
      </c>
      <c r="I1109" t="n">
        <v>0.3550779901082649</v>
      </c>
      <c r="J1109" t="n">
        <v>0.0147222031401463</v>
      </c>
      <c r="K1109" t="n">
        <v>0.6371713870857058</v>
      </c>
      <c r="L1109" t="b">
        <v>0</v>
      </c>
      <c r="M1109" t="b">
        <v>0</v>
      </c>
      <c r="N1109" t="inlineStr">
        <is>
          <t>alt</t>
        </is>
      </c>
      <c r="O1109" t="n">
        <v>-90</v>
      </c>
      <c r="P1109" t="n">
        <v>0.02597</v>
      </c>
      <c r="Q1109" t="n">
        <v>-90</v>
      </c>
      <c r="R1109" t="n">
        <v>0.05176</v>
      </c>
      <c r="S1109">
        <f>IMAGE("https://mitra.stanford.edu/kundaje/oak/projects/neuro-variants/variant_position/credible/roussos_2024/variant_figures/roussos_2024.childhood.Astrocyte/rs1927808_count_position.png",4,220,900)</f>
        <v/>
      </c>
      <c r="T1109">
        <f>IMAGE("https://mitra.stanford.edu/kundaje/oak/projects/neuro-variants/variant_position/credible/roussos_2024/variant_figures/roussos_2024.childhood.Astrocyte/rs1927808_profile_position.png",4,220,900)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-0.094292951</v>
      </c>
      <c r="G1110" t="n">
        <v>0.0782789257675493</v>
      </c>
      <c r="H1110" t="n">
        <v>0.0115185295577303</v>
      </c>
      <c r="I1110" t="n">
        <v>0.5594503139205927</v>
      </c>
      <c r="J1110" t="n">
        <v>0.0053406913817712</v>
      </c>
      <c r="K1110" t="n">
        <v>0.769334488307874</v>
      </c>
      <c r="L1110" t="b">
        <v>0</v>
      </c>
      <c r="M1110" t="b">
        <v>0</v>
      </c>
      <c r="N1110" t="inlineStr">
        <is>
          <t>ref</t>
        </is>
      </c>
      <c r="O1110" t="n">
        <v>75</v>
      </c>
      <c r="P1110" t="n">
        <v>0.005943</v>
      </c>
      <c r="Q1110" t="n">
        <v>-90</v>
      </c>
      <c r="R1110" t="n">
        <v>0.05768</v>
      </c>
      <c r="S1110">
        <f>IMAGE("https://mitra.stanford.edu/kundaje/oak/projects/neuro-variants/variant_position/credible/roussos_2024/variant_figures/roussos_2024.childhood.Astrocyte/rs9516643_count_position.png",4,220,900)</f>
        <v/>
      </c>
      <c r="T1110">
        <f>IMAGE("https://mitra.stanford.edu/kundaje/oak/projects/neuro-variants/variant_position/credible/roussos_2024/variant_figures/roussos_2024.childhood.Astrocyte/rs9516643_profile_position.png",4,220,900)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-0.0735324656</v>
      </c>
      <c r="G1111" t="n">
        <v>0.1352356740049722</v>
      </c>
      <c r="H1111" t="n">
        <v>0.0124907161892818</v>
      </c>
      <c r="I1111" t="n">
        <v>0.4702451140502357</v>
      </c>
      <c r="J1111" t="n">
        <v>0.0066863593689175</v>
      </c>
      <c r="K1111" t="n">
        <v>0.7392061611793875</v>
      </c>
      <c r="L1111" t="b">
        <v>0</v>
      </c>
      <c r="M1111" t="b">
        <v>0</v>
      </c>
      <c r="N1111" t="inlineStr">
        <is>
          <t>ref</t>
        </is>
      </c>
      <c r="O1111" t="n">
        <v>100</v>
      </c>
      <c r="P1111" t="n">
        <v>0.003456</v>
      </c>
      <c r="Q1111" t="n">
        <v>-70</v>
      </c>
      <c r="R1111" t="n">
        <v>0.11273</v>
      </c>
      <c r="S1111">
        <f>IMAGE("https://mitra.stanford.edu/kundaje/oak/projects/neuro-variants/variant_position/credible/roussos_2024/variant_figures/roussos_2024.childhood.Astrocyte/rs9584347_count_position.png",4,220,900)</f>
        <v/>
      </c>
      <c r="T1111">
        <f>IMAGE("https://mitra.stanford.edu/kundaje/oak/projects/neuro-variants/variant_position/credible/roussos_2024/variant_figures/roussos_2024.childhood.Astrocyte/rs9584347_profile_position.png",4,220,900)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-0.0075150999599999</v>
      </c>
      <c r="G1112" t="n">
        <v>0.730270651333815</v>
      </c>
      <c r="H1112" t="n">
        <v>0.020919694308447</v>
      </c>
      <c r="I1112" t="n">
        <v>0.1094337671533088</v>
      </c>
      <c r="J1112" t="n">
        <v>0.0072038652652789</v>
      </c>
      <c r="K1112" t="n">
        <v>0.7387342735661049</v>
      </c>
      <c r="L1112" t="b">
        <v>0</v>
      </c>
      <c r="M1112" t="b">
        <v>0</v>
      </c>
      <c r="N1112" t="inlineStr">
        <is>
          <t>ref</t>
        </is>
      </c>
      <c r="O1112" t="n">
        <v>-90</v>
      </c>
      <c r="P1112" t="n">
        <v>0.0338</v>
      </c>
      <c r="Q1112" t="n">
        <v>-85</v>
      </c>
      <c r="R1112" t="n">
        <v>0.673</v>
      </c>
      <c r="S1112">
        <f>IMAGE("https://mitra.stanford.edu/kundaje/oak/projects/neuro-variants/variant_position/credible/roussos_2024/variant_figures/roussos_2024.childhood.Astrocyte/rs9525161_count_position.png",4,220,900)</f>
        <v/>
      </c>
      <c r="T1112">
        <f>IMAGE("https://mitra.stanford.edu/kundaje/oak/projects/neuro-variants/variant_position/credible/roussos_2024/variant_figures/roussos_2024.childhood.Astrocyte/rs9525161_profile_position.png",4,220,900)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0.0140167047599999</v>
      </c>
      <c r="G1113" t="n">
        <v>0.6302860638439336</v>
      </c>
      <c r="H1113" t="n">
        <v>0.0241826088507907</v>
      </c>
      <c r="I1113" t="n">
        <v>0.06596602121003201</v>
      </c>
      <c r="J1113" t="n">
        <v>0.030007709158633</v>
      </c>
      <c r="K1113" t="n">
        <v>0.5267567815005636</v>
      </c>
      <c r="L1113" t="b">
        <v>0</v>
      </c>
      <c r="M1113" t="b">
        <v>0</v>
      </c>
      <c r="N1113" t="inlineStr">
        <is>
          <t>alt</t>
        </is>
      </c>
      <c r="O1113" t="n">
        <v>60</v>
      </c>
      <c r="P1113" t="n">
        <v>0.00532</v>
      </c>
      <c r="Q1113" t="n">
        <v>100</v>
      </c>
      <c r="R1113" t="n">
        <v>0.06809999999999999</v>
      </c>
      <c r="S1113">
        <f>IMAGE("https://mitra.stanford.edu/kundaje/oak/projects/neuro-variants/variant_position/credible/roussos_2024/variant_figures/roussos_2024.childhood.Astrocyte/rs8002865_count_position.png",4,220,900)</f>
        <v/>
      </c>
      <c r="T1113">
        <f>IMAGE("https://mitra.stanford.edu/kundaje/oak/projects/neuro-variants/variant_position/credible/roussos_2024/variant_figures/roussos_2024.childhood.Astrocyte/rs8002865_profile_position.png",4,220,900)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0.00485133774</v>
      </c>
      <c r="G1114" t="n">
        <v>0.8364723561345623</v>
      </c>
      <c r="H1114" t="n">
        <v>0.0287578895050963</v>
      </c>
      <c r="I1114" t="n">
        <v>0.0365321901237877</v>
      </c>
      <c r="J1114" t="n">
        <v>0.0042881240792897</v>
      </c>
      <c r="K1114" t="n">
        <v>0.8086835405324259</v>
      </c>
      <c r="L1114" t="b">
        <v>0</v>
      </c>
      <c r="M1114" t="b">
        <v>0</v>
      </c>
      <c r="N1114" t="inlineStr">
        <is>
          <t>alt</t>
        </is>
      </c>
      <c r="O1114" t="n">
        <v>80</v>
      </c>
      <c r="P1114" t="n">
        <v>0.001877</v>
      </c>
      <c r="Q1114" t="n">
        <v>100</v>
      </c>
      <c r="R1114" t="n">
        <v>0.04257</v>
      </c>
      <c r="S1114">
        <f>IMAGE("https://mitra.stanford.edu/kundaje/oak/projects/neuro-variants/variant_position/credible/roussos_2024/variant_figures/roussos_2024.childhood.Astrocyte/rs1927804_count_position.png",4,220,900)</f>
        <v/>
      </c>
      <c r="T1114">
        <f>IMAGE("https://mitra.stanford.edu/kundaje/oak/projects/neuro-variants/variant_position/credible/roussos_2024/variant_figures/roussos_2024.childhood.Astrocyte/rs1927804_profile_position.png",4,220,900)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0.03708667514</v>
      </c>
      <c r="G1115" t="n">
        <v>0.3054870143674179</v>
      </c>
      <c r="H1115" t="n">
        <v>0.0125302348109788</v>
      </c>
      <c r="I1115" t="n">
        <v>0.4632905667362483</v>
      </c>
      <c r="J1115" t="n">
        <v>0.0095189027043117</v>
      </c>
      <c r="K1115" t="n">
        <v>0.7029931324173467</v>
      </c>
      <c r="L1115" t="b">
        <v>0</v>
      </c>
      <c r="M1115" t="b">
        <v>0</v>
      </c>
      <c r="N1115" t="inlineStr">
        <is>
          <t>alt</t>
        </is>
      </c>
      <c r="O1115" t="n">
        <v>85</v>
      </c>
      <c r="P1115" t="n">
        <v>0.003296</v>
      </c>
      <c r="Q1115" t="n">
        <v>80</v>
      </c>
      <c r="R1115" t="n">
        <v>0.1283</v>
      </c>
      <c r="S1115">
        <f>IMAGE("https://mitra.stanford.edu/kundaje/oak/projects/neuro-variants/variant_position/credible/roussos_2024/variant_figures/roussos_2024.childhood.Astrocyte/rs9516649_count_position.png",4,220,900)</f>
        <v/>
      </c>
      <c r="T1115">
        <f>IMAGE("https://mitra.stanford.edu/kundaje/oak/projects/neuro-variants/variant_position/credible/roussos_2024/variant_figures/roussos_2024.childhood.Astrocyte/rs9516649_profile_position.png",4,220,900)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0.00492147872</v>
      </c>
      <c r="G1116" t="n">
        <v>0.7389245706810049</v>
      </c>
      <c r="H1116" t="n">
        <v>0.0296229846561666</v>
      </c>
      <c r="I1116" t="n">
        <v>0.0315978385091815</v>
      </c>
      <c r="J1116" t="n">
        <v>0.0012395716455618</v>
      </c>
      <c r="K1116" t="n">
        <v>0.8967505498591875</v>
      </c>
      <c r="L1116" t="b">
        <v>0</v>
      </c>
      <c r="M1116" t="b">
        <v>0</v>
      </c>
      <c r="N1116" t="inlineStr">
        <is>
          <t>alt</t>
        </is>
      </c>
      <c r="O1116" t="n">
        <v>-65</v>
      </c>
      <c r="P1116" t="n">
        <v>0.02841</v>
      </c>
      <c r="Q1116" t="n">
        <v>-60</v>
      </c>
      <c r="R1116" t="n">
        <v>0.03503</v>
      </c>
      <c r="S1116">
        <f>IMAGE("https://mitra.stanford.edu/kundaje/oak/projects/neuro-variants/variant_position/credible/roussos_2024/variant_figures/roussos_2024.childhood.Astrocyte/rs2104657_count_position.png",4,220,900)</f>
        <v/>
      </c>
      <c r="T1116">
        <f>IMAGE("https://mitra.stanford.edu/kundaje/oak/projects/neuro-variants/variant_position/credible/roussos_2024/variant_figures/roussos_2024.childhood.Astrocyte/rs2104657_profile_position.png",4,220,900)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-0.0759166204</v>
      </c>
      <c r="G1117" t="n">
        <v>0.1159496664265882</v>
      </c>
      <c r="H1117" t="n">
        <v>0.012473361141692</v>
      </c>
      <c r="I1117" t="n">
        <v>0.4748426245444928</v>
      </c>
      <c r="J1117" t="n">
        <v>0.094357048537168</v>
      </c>
      <c r="K1117" t="n">
        <v>0.3342507240085439</v>
      </c>
      <c r="L1117" t="b">
        <v>0</v>
      </c>
      <c r="M1117" t="b">
        <v>0</v>
      </c>
      <c r="N1117" t="inlineStr">
        <is>
          <t>ref</t>
        </is>
      </c>
      <c r="O1117" t="n">
        <v>20</v>
      </c>
      <c r="P1117" t="n">
        <v>0.005707</v>
      </c>
      <c r="Q1117" t="n">
        <v>75</v>
      </c>
      <c r="R1117" t="n">
        <v>0.1797</v>
      </c>
      <c r="S1117">
        <f>IMAGE("https://mitra.stanford.edu/kundaje/oak/projects/neuro-variants/variant_position/credible/roussos_2024/variant_figures/roussos_2024.childhood.Astrocyte/rs1927784_count_position.png",4,220,900)</f>
        <v/>
      </c>
      <c r="T1117">
        <f>IMAGE("https://mitra.stanford.edu/kundaje/oak/projects/neuro-variants/variant_position/credible/roussos_2024/variant_figures/roussos_2024.childhood.Astrocyte/rs1927784_profile_position.png",4,220,900)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0.02871617552</v>
      </c>
      <c r="G1118" t="n">
        <v>0.4177742800737204</v>
      </c>
      <c r="H1118" t="n">
        <v>0.0103064839968618</v>
      </c>
      <c r="I1118" t="n">
        <v>0.6611796255943262</v>
      </c>
      <c r="J1118" t="n">
        <v>0.0025325731034324</v>
      </c>
      <c r="K1118" t="n">
        <v>0.8605585235103663</v>
      </c>
      <c r="L1118" t="b">
        <v>0</v>
      </c>
      <c r="M1118" t="b">
        <v>0</v>
      </c>
      <c r="N1118" t="inlineStr">
        <is>
          <t>alt</t>
        </is>
      </c>
      <c r="O1118" t="n">
        <v>-95</v>
      </c>
      <c r="P1118" t="n">
        <v>0.06003</v>
      </c>
      <c r="Q1118" t="n">
        <v>-95</v>
      </c>
      <c r="R1118" t="n">
        <v>0.07920000000000001</v>
      </c>
      <c r="S1118">
        <f>IMAGE("https://mitra.stanford.edu/kundaje/oak/projects/neuro-variants/variant_position/credible/roussos_2024/variant_figures/roussos_2024.childhood.Astrocyte/rs61966895_count_position.png",4,220,900)</f>
        <v/>
      </c>
      <c r="T1118">
        <f>IMAGE("https://mitra.stanford.edu/kundaje/oak/projects/neuro-variants/variant_position/credible/roussos_2024/variant_figures/roussos_2024.childhood.Astrocyte/rs61966895_profile_position.png",4,220,900)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0.182018838</v>
      </c>
      <c r="G1119" t="n">
        <v>0.021079042879299</v>
      </c>
      <c r="H1119" t="n">
        <v>0.0165494331209992</v>
      </c>
      <c r="I1119" t="n">
        <v>0.2288965602417028</v>
      </c>
      <c r="J1119" t="n">
        <v>0.1044957370642607</v>
      </c>
      <c r="K1119" t="n">
        <v>0.3157136338508047</v>
      </c>
      <c r="L1119" t="b">
        <v>0</v>
      </c>
      <c r="M1119" t="b">
        <v>0</v>
      </c>
      <c r="N1119" t="inlineStr">
        <is>
          <t>alt</t>
        </is>
      </c>
      <c r="O1119" t="n">
        <v>15</v>
      </c>
      <c r="P1119" t="n">
        <v>0.001015</v>
      </c>
      <c r="Q1119" t="n">
        <v>45</v>
      </c>
      <c r="R1119" t="n">
        <v>0.03418</v>
      </c>
      <c r="S1119">
        <f>IMAGE("https://mitra.stanford.edu/kundaje/oak/projects/neuro-variants/variant_position/credible/roussos_2024/variant_figures/roussos_2024.childhood.Astrocyte/rs11619328_count_position.png",4,220,900)</f>
        <v/>
      </c>
      <c r="T1119">
        <f>IMAGE("https://mitra.stanford.edu/kundaje/oak/projects/neuro-variants/variant_position/credible/roussos_2024/variant_figures/roussos_2024.childhood.Astrocyte/rs11619328_profile_position.png",4,220,900)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-0.1234365728</v>
      </c>
      <c r="G1120" t="n">
        <v>0.0471329451619453</v>
      </c>
      <c r="H1120" t="n">
        <v>0.0180266658706044</v>
      </c>
      <c r="I1120" t="n">
        <v>0.1820745335696848</v>
      </c>
      <c r="J1120" t="n">
        <v>0.0439414409257096</v>
      </c>
      <c r="K1120" t="n">
        <v>0.4652369153275573</v>
      </c>
      <c r="L1120" t="b">
        <v>0</v>
      </c>
      <c r="M1120" t="b">
        <v>0</v>
      </c>
      <c r="N1120" t="inlineStr">
        <is>
          <t>ref</t>
        </is>
      </c>
      <c r="O1120" t="n">
        <v>-30</v>
      </c>
      <c r="P1120" t="n">
        <v>0.002823</v>
      </c>
      <c r="Q1120" t="n">
        <v>-100</v>
      </c>
      <c r="R1120" t="n">
        <v>0.1376</v>
      </c>
      <c r="S1120">
        <f>IMAGE("https://mitra.stanford.edu/kundaje/oak/projects/neuro-variants/variant_position/credible/roussos_2024/variant_figures/roussos_2024.childhood.Astrocyte/rs2038823_count_position.png",4,220,900)</f>
        <v/>
      </c>
      <c r="T1120">
        <f>IMAGE("https://mitra.stanford.edu/kundaje/oak/projects/neuro-variants/variant_position/credible/roussos_2024/variant_figures/roussos_2024.childhood.Astrocyte/rs2038823_profile_position.png",4,220,900)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-0.0117023386999999</v>
      </c>
      <c r="G1121" t="n">
        <v>0.469298721885345</v>
      </c>
      <c r="H1121" t="n">
        <v>0.0117446258146791</v>
      </c>
      <c r="I1121" t="n">
        <v>0.5374005927467256</v>
      </c>
      <c r="J1121" t="n">
        <v>0.0005655927274392</v>
      </c>
      <c r="K1121" t="n">
        <v>0.9284972955692326</v>
      </c>
      <c r="L1121" t="b">
        <v>0</v>
      </c>
      <c r="M1121" t="b">
        <v>0</v>
      </c>
      <c r="N1121" t="inlineStr">
        <is>
          <t>ref</t>
        </is>
      </c>
      <c r="O1121" t="n">
        <v>100</v>
      </c>
      <c r="P1121" t="n">
        <v>0.00831</v>
      </c>
      <c r="Q1121" t="n">
        <v>-45</v>
      </c>
      <c r="R1121" t="n">
        <v>0.0796</v>
      </c>
      <c r="S1121">
        <f>IMAGE("https://mitra.stanford.edu/kundaje/oak/projects/neuro-variants/variant_position/credible/roussos_2024/variant_figures/roussos_2024.childhood.Astrocyte/rs11618312_count_position.png",4,220,900)</f>
        <v/>
      </c>
      <c r="T1121">
        <f>IMAGE("https://mitra.stanford.edu/kundaje/oak/projects/neuro-variants/variant_position/credible/roussos_2024/variant_figures/roussos_2024.childhood.Astrocyte/rs11618312_profile_position.png",4,220,900)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-0.066359616</v>
      </c>
      <c r="G1122" t="n">
        <v>0.1489925091359679</v>
      </c>
      <c r="H1122" t="n">
        <v>0.0105016366464361</v>
      </c>
      <c r="I1122" t="n">
        <v>0.6638801169062154</v>
      </c>
      <c r="J1122" t="n">
        <v>0.000941891262699</v>
      </c>
      <c r="K1122" t="n">
        <v>0.9095625269061164</v>
      </c>
      <c r="L1122" t="b">
        <v>0</v>
      </c>
      <c r="M1122" t="b">
        <v>0</v>
      </c>
      <c r="N1122" t="inlineStr">
        <is>
          <t>ref</t>
        </is>
      </c>
      <c r="O1122" t="n">
        <v>95</v>
      </c>
      <c r="P1122" t="n">
        <v>0.009834000000000001</v>
      </c>
      <c r="Q1122" t="n">
        <v>30</v>
      </c>
      <c r="R1122" t="n">
        <v>0.00708</v>
      </c>
      <c r="S1122">
        <f>IMAGE("https://mitra.stanford.edu/kundaje/oak/projects/neuro-variants/variant_position/credible/roussos_2024/variant_figures/roussos_2024.childhood.Astrocyte/rs117420459_count_position.png",4,220,900)</f>
        <v/>
      </c>
      <c r="T1122">
        <f>IMAGE("https://mitra.stanford.edu/kundaje/oak/projects/neuro-variants/variant_position/credible/roussos_2024/variant_figures/roussos_2024.childhood.Astrocyte/rs117420459_profile_position.png",4,220,900)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-0.0011477086359999</v>
      </c>
      <c r="G1123" t="n">
        <v>0.8005556555636005</v>
      </c>
      <c r="H1123" t="n">
        <v>0.0230959735461544</v>
      </c>
      <c r="I1123" t="n">
        <v>0.0792938215662493</v>
      </c>
      <c r="J1123" t="n">
        <v>0.0135765153076411</v>
      </c>
      <c r="K1123" t="n">
        <v>0.6579939733921438</v>
      </c>
      <c r="L1123" t="b">
        <v>0</v>
      </c>
      <c r="M1123" t="b">
        <v>0</v>
      </c>
      <c r="N1123" t="inlineStr">
        <is>
          <t>ref</t>
        </is>
      </c>
      <c r="O1123" t="n">
        <v>95</v>
      </c>
      <c r="P1123" t="n">
        <v>0.05722</v>
      </c>
      <c r="Q1123" t="n">
        <v>100</v>
      </c>
      <c r="R1123" t="n">
        <v>0.1765</v>
      </c>
      <c r="S1123">
        <f>IMAGE("https://mitra.stanford.edu/kundaje/oak/projects/neuro-variants/variant_position/credible/roussos_2024/variant_figures/roussos_2024.childhood.Astrocyte/rs115587611_count_position.png",4,220,900)</f>
        <v/>
      </c>
      <c r="T1123">
        <f>IMAGE("https://mitra.stanford.edu/kundaje/oak/projects/neuro-variants/variant_position/credible/roussos_2024/variant_figures/roussos_2024.childhood.Astrocyte/rs115587611_profile_position.png",4,220,900)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-0.0202373729999999</v>
      </c>
      <c r="G1124" t="n">
        <v>0.5316502968803912</v>
      </c>
      <c r="H1124" t="n">
        <v>0.033869449249009</v>
      </c>
      <c r="I1124" t="n">
        <v>0.0188595753376502</v>
      </c>
      <c r="J1124" t="n">
        <v>0.006787876012304</v>
      </c>
      <c r="K1124" t="n">
        <v>0.7504242947673143</v>
      </c>
      <c r="L1124" t="b">
        <v>0</v>
      </c>
      <c r="M1124" t="b">
        <v>0</v>
      </c>
      <c r="N1124" t="inlineStr">
        <is>
          <t>ref</t>
        </is>
      </c>
      <c r="O1124" t="n">
        <v>-95</v>
      </c>
      <c r="P1124" t="n">
        <v>0.005768</v>
      </c>
      <c r="Q1124" t="n">
        <v>-95</v>
      </c>
      <c r="R1124" t="n">
        <v>0.099</v>
      </c>
      <c r="S1124">
        <f>IMAGE("https://mitra.stanford.edu/kundaje/oak/projects/neuro-variants/variant_position/credible/roussos_2024/variant_figures/roussos_2024.childhood.Astrocyte/rs115470719_count_position.png",4,220,900)</f>
        <v/>
      </c>
      <c r="T1124">
        <f>IMAGE("https://mitra.stanford.edu/kundaje/oak/projects/neuro-variants/variant_position/credible/roussos_2024/variant_figures/roussos_2024.childhood.Astrocyte/rs115470719_profile_position.png",4,220,900)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0.0406005616</v>
      </c>
      <c r="G1125" t="n">
        <v>0.2827491074113155</v>
      </c>
      <c r="H1125" t="n">
        <v>0.0139035466039228</v>
      </c>
      <c r="I1125" t="n">
        <v>0.3710782145828505</v>
      </c>
      <c r="J1125" t="n">
        <v>0.00749085968568</v>
      </c>
      <c r="K1125" t="n">
        <v>0.7478457100090253</v>
      </c>
      <c r="L1125" t="b">
        <v>0</v>
      </c>
      <c r="M1125" t="b">
        <v>0</v>
      </c>
      <c r="N1125" t="inlineStr">
        <is>
          <t>alt</t>
        </is>
      </c>
      <c r="O1125" t="n">
        <v>85</v>
      </c>
      <c r="P1125" t="n">
        <v>0.0735</v>
      </c>
      <c r="Q1125" t="n">
        <v>85</v>
      </c>
      <c r="R1125" t="n">
        <v>0.234</v>
      </c>
      <c r="S1125">
        <f>IMAGE("https://mitra.stanford.edu/kundaje/oak/projects/neuro-variants/variant_position/credible/roussos_2024/variant_figures/roussos_2024.childhood.Astrocyte/rs61966906_count_position.png",4,220,900)</f>
        <v/>
      </c>
      <c r="T1125">
        <f>IMAGE("https://mitra.stanford.edu/kundaje/oak/projects/neuro-variants/variant_position/credible/roussos_2024/variant_figures/roussos_2024.childhood.Astrocyte/rs61966906_profile_position.png",4,220,900)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-0.0892834196</v>
      </c>
      <c r="G1126" t="n">
        <v>0.0860280797412081</v>
      </c>
      <c r="H1126" t="n">
        <v>0.0136677575742902</v>
      </c>
      <c r="I1126" t="n">
        <v>0.3815974383898768</v>
      </c>
      <c r="J1126" t="n">
        <v>0.0067130742750719</v>
      </c>
      <c r="K1126" t="n">
        <v>0.74309474607269</v>
      </c>
      <c r="L1126" t="b">
        <v>0</v>
      </c>
      <c r="M1126" t="b">
        <v>0</v>
      </c>
      <c r="N1126" t="inlineStr">
        <is>
          <t>ref</t>
        </is>
      </c>
      <c r="O1126" t="n">
        <v>-100</v>
      </c>
      <c r="P1126" t="n">
        <v>0.02121</v>
      </c>
      <c r="Q1126" t="n">
        <v>100</v>
      </c>
      <c r="R1126" t="n">
        <v>0.0979</v>
      </c>
      <c r="S1126">
        <f>IMAGE("https://mitra.stanford.edu/kundaje/oak/projects/neuro-variants/variant_position/credible/roussos_2024/variant_figures/roussos_2024.childhood.Astrocyte/rs61966910_count_position.png",4,220,900)</f>
        <v/>
      </c>
      <c r="T1126">
        <f>IMAGE("https://mitra.stanford.edu/kundaje/oak/projects/neuro-variants/variant_position/credible/roussos_2024/variant_figures/roussos_2024.childhood.Astrocyte/rs61966910_profile_position.png",4,220,900)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-0.0618796492</v>
      </c>
      <c r="G1127" t="n">
        <v>0.1593165222618999</v>
      </c>
      <c r="H1127" t="n">
        <v>0.012523273090796</v>
      </c>
      <c r="I1127" t="n">
        <v>0.471292502189765</v>
      </c>
      <c r="J1127" t="n">
        <v>0.1076160381030889</v>
      </c>
      <c r="K1127" t="n">
        <v>0.3155800377207231</v>
      </c>
      <c r="L1127" t="b">
        <v>0</v>
      </c>
      <c r="M1127" t="b">
        <v>0</v>
      </c>
      <c r="N1127" t="inlineStr">
        <is>
          <t>ref</t>
        </is>
      </c>
      <c r="O1127" t="n">
        <v>-20</v>
      </c>
      <c r="P1127" t="n">
        <v>0.0011215</v>
      </c>
      <c r="Q1127" t="n">
        <v>-15</v>
      </c>
      <c r="R1127" t="n">
        <v>0.04376</v>
      </c>
      <c r="S1127">
        <f>IMAGE("https://mitra.stanford.edu/kundaje/oak/projects/neuro-variants/variant_position/credible/roussos_2024/variant_figures/roussos_2024.childhood.Astrocyte/rs11616787_count_position.png",4,220,900)</f>
        <v/>
      </c>
      <c r="T1127">
        <f>IMAGE("https://mitra.stanford.edu/kundaje/oak/projects/neuro-variants/variant_position/credible/roussos_2024/variant_figures/roussos_2024.childhood.Astrocyte/rs11616787_profile_position.png",4,220,900)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0.046981285</v>
      </c>
      <c r="G1128" t="n">
        <v>0.2267928808758744</v>
      </c>
      <c r="H1128" t="n">
        <v>0.009473962149009699</v>
      </c>
      <c r="I1128" t="n">
        <v>0.7724069806565479</v>
      </c>
      <c r="J1128" t="n">
        <v>0.0013334554586186</v>
      </c>
      <c r="K1128" t="n">
        <v>0.8931101253835596</v>
      </c>
      <c r="L1128" t="b">
        <v>0</v>
      </c>
      <c r="M1128" t="b">
        <v>0</v>
      </c>
      <c r="N1128" t="inlineStr">
        <is>
          <t>alt</t>
        </is>
      </c>
      <c r="O1128" t="n">
        <v>40</v>
      </c>
      <c r="P1128" t="n">
        <v>0.004234</v>
      </c>
      <c r="Q1128" t="n">
        <v>45</v>
      </c>
      <c r="R1128" t="n">
        <v>0.09</v>
      </c>
      <c r="S1128">
        <f>IMAGE("https://mitra.stanford.edu/kundaje/oak/projects/neuro-variants/variant_position/credible/roussos_2024/variant_figures/roussos_2024.childhood.Astrocyte/rs11620555_count_position.png",4,220,900)</f>
        <v/>
      </c>
      <c r="T1128">
        <f>IMAGE("https://mitra.stanford.edu/kundaje/oak/projects/neuro-variants/variant_position/credible/roussos_2024/variant_figures/roussos_2024.childhood.Astrocyte/rs11620555_profile_position.png",4,220,900)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-0.03255336294</v>
      </c>
      <c r="G1129" t="n">
        <v>0.2611288205161856</v>
      </c>
      <c r="H1129" t="n">
        <v>0.0119467334975297</v>
      </c>
      <c r="I1129" t="n">
        <v>0.496958631257683</v>
      </c>
      <c r="J1129" t="n">
        <v>0.0359750559104821</v>
      </c>
      <c r="K1129" t="n">
        <v>0.5018722153665662</v>
      </c>
      <c r="L1129" t="b">
        <v>0</v>
      </c>
      <c r="M1129" t="b">
        <v>0</v>
      </c>
      <c r="N1129" t="inlineStr">
        <is>
          <t>ref</t>
        </is>
      </c>
      <c r="O1129" t="n">
        <v>-5</v>
      </c>
      <c r="P1129" t="n">
        <v>0.003983</v>
      </c>
      <c r="Q1129" t="n">
        <v>-70</v>
      </c>
      <c r="R1129" t="n">
        <v>0.10944</v>
      </c>
      <c r="S1129">
        <f>IMAGE("https://mitra.stanford.edu/kundaje/oak/projects/neuro-variants/variant_position/credible/roussos_2024/variant_figures/roussos_2024.childhood.Astrocyte/rs11842501_count_position.png",4,220,900)</f>
        <v/>
      </c>
      <c r="T1129">
        <f>IMAGE("https://mitra.stanford.edu/kundaje/oak/projects/neuro-variants/variant_position/credible/roussos_2024/variant_figures/roussos_2024.childhood.Astrocyte/rs11842501_profile_position.png",4,220,900)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-0.041084578</v>
      </c>
      <c r="G1130" t="n">
        <v>0.2843869555852688</v>
      </c>
      <c r="H1130" t="n">
        <v>0.0130911755724134</v>
      </c>
      <c r="I1130" t="n">
        <v>0.4325922213946921</v>
      </c>
      <c r="J1130" t="n">
        <v>0.0870058696465236</v>
      </c>
      <c r="K1130" t="n">
        <v>0.3484148401519788</v>
      </c>
      <c r="L1130" t="b">
        <v>0</v>
      </c>
      <c r="M1130" t="b">
        <v>0</v>
      </c>
      <c r="N1130" t="inlineStr">
        <is>
          <t>ref</t>
        </is>
      </c>
      <c r="O1130" t="n">
        <v>35</v>
      </c>
      <c r="P1130" t="n">
        <v>0.00196</v>
      </c>
      <c r="Q1130" t="n">
        <v>-80</v>
      </c>
      <c r="R1130" t="n">
        <v>0.1329</v>
      </c>
      <c r="S1130">
        <f>IMAGE("https://mitra.stanford.edu/kundaje/oak/projects/neuro-variants/variant_position/credible/roussos_2024/variant_figures/roussos_2024.childhood.Astrocyte/rs61966935_count_position.png",4,220,900)</f>
        <v/>
      </c>
      <c r="T1130">
        <f>IMAGE("https://mitra.stanford.edu/kundaje/oak/projects/neuro-variants/variant_position/credible/roussos_2024/variant_figures/roussos_2024.childhood.Astrocyte/rs61966935_profile_position.png",4,220,900)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0.028072879</v>
      </c>
      <c r="G1131" t="n">
        <v>0.4026383334276387</v>
      </c>
      <c r="H1131" t="n">
        <v>0.0167564244492926</v>
      </c>
      <c r="I1131" t="n">
        <v>0.2168464696945503</v>
      </c>
      <c r="J1131" t="n">
        <v>0.3437941273003442</v>
      </c>
      <c r="K1131" t="n">
        <v>0.109984380053804</v>
      </c>
      <c r="L1131" t="b">
        <v>0</v>
      </c>
      <c r="M1131" t="b">
        <v>0</v>
      </c>
      <c r="N1131" t="inlineStr">
        <is>
          <t>alt</t>
        </is>
      </c>
      <c r="O1131" t="n">
        <v>90</v>
      </c>
      <c r="P1131" t="n">
        <v>0.05853</v>
      </c>
      <c r="Q1131" t="n">
        <v>100</v>
      </c>
      <c r="R1131" t="n">
        <v>0.7256</v>
      </c>
      <c r="S1131">
        <f>IMAGE("https://mitra.stanford.edu/kundaje/oak/projects/neuro-variants/variant_position/credible/roussos_2024/variant_figures/roussos_2024.childhood.Astrocyte/rs11618566_count_position.png",4,220,900)</f>
        <v/>
      </c>
      <c r="T1131">
        <f>IMAGE("https://mitra.stanford.edu/kundaje/oak/projects/neuro-variants/variant_position/credible/roussos_2024/variant_figures/roussos_2024.childhood.Astrocyte/rs11618566_profile_position.png",4,220,900)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0.002816257572</v>
      </c>
      <c r="G1132" t="n">
        <v>0.8897470208015866</v>
      </c>
      <c r="H1132" t="n">
        <v>0.0246775815327802</v>
      </c>
      <c r="I1132" t="n">
        <v>0.0614618672696556</v>
      </c>
      <c r="J1132" t="n">
        <v>0.0139757123338904</v>
      </c>
      <c r="K1132" t="n">
        <v>0.6445820154730368</v>
      </c>
      <c r="L1132" t="b">
        <v>0</v>
      </c>
      <c r="M1132" t="b">
        <v>0</v>
      </c>
      <c r="N1132" t="inlineStr">
        <is>
          <t>alt</t>
        </is>
      </c>
      <c r="O1132" t="n">
        <v>-55</v>
      </c>
      <c r="P1132" t="n">
        <v>0.00482</v>
      </c>
      <c r="Q1132" t="n">
        <v>-95</v>
      </c>
      <c r="R1132" t="n">
        <v>0.1809</v>
      </c>
      <c r="S1132">
        <f>IMAGE("https://mitra.stanford.edu/kundaje/oak/projects/neuro-variants/variant_position/credible/roussos_2024/variant_figures/roussos_2024.childhood.Astrocyte/rs7993037_count_position.png",4,220,900)</f>
        <v/>
      </c>
      <c r="T1132">
        <f>IMAGE("https://mitra.stanford.edu/kundaje/oak/projects/neuro-variants/variant_position/credible/roussos_2024/variant_figures/roussos_2024.childhood.Astrocyte/rs7993037_profile_position.png",4,220,900)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0.0387665404</v>
      </c>
      <c r="G1133" t="n">
        <v>0.2950651715088794</v>
      </c>
      <c r="H1133" t="n">
        <v>0.021577606266869</v>
      </c>
      <c r="I1133" t="n">
        <v>0.0986675838286125</v>
      </c>
      <c r="J1133" t="n">
        <v>0.0161464892796897</v>
      </c>
      <c r="K1133" t="n">
        <v>0.623836772403227</v>
      </c>
      <c r="L1133" t="b">
        <v>0</v>
      </c>
      <c r="M1133" t="b">
        <v>0</v>
      </c>
      <c r="N1133" t="inlineStr">
        <is>
          <t>alt</t>
        </is>
      </c>
      <c r="O1133" t="n">
        <v>15</v>
      </c>
      <c r="P1133" t="n">
        <v>0.002686</v>
      </c>
      <c r="Q1133" t="n">
        <v>-100</v>
      </c>
      <c r="R1133" t="n">
        <v>0.18</v>
      </c>
      <c r="S1133">
        <f>IMAGE("https://mitra.stanford.edu/kundaje/oak/projects/neuro-variants/variant_position/credible/roussos_2024/variant_figures/roussos_2024.childhood.Astrocyte/rs114779898_count_position.png",4,220,900)</f>
        <v/>
      </c>
      <c r="T1133">
        <f>IMAGE("https://mitra.stanford.edu/kundaje/oak/projects/neuro-variants/variant_position/credible/roussos_2024/variant_figures/roussos_2024.childhood.Astrocyte/rs114779898_profile_position.png",4,220,900)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-0.0167956564</v>
      </c>
      <c r="G1134" t="n">
        <v>0.5731166869379958</v>
      </c>
      <c r="H1134" t="n">
        <v>0.0113362962832594</v>
      </c>
      <c r="I1134" t="n">
        <v>0.5593761283728219</v>
      </c>
      <c r="J1134" t="n">
        <v>0.0030142046972436</v>
      </c>
      <c r="K1134" t="n">
        <v>0.8295162957815957</v>
      </c>
      <c r="L1134" t="b">
        <v>0</v>
      </c>
      <c r="M1134" t="b">
        <v>0</v>
      </c>
      <c r="N1134" t="inlineStr">
        <is>
          <t>ref</t>
        </is>
      </c>
      <c r="O1134" t="n">
        <v>100</v>
      </c>
      <c r="P1134" t="n">
        <v>0.01162</v>
      </c>
      <c r="Q1134" t="n">
        <v>-100</v>
      </c>
      <c r="R1134" t="n">
        <v>0.1556</v>
      </c>
      <c r="S1134">
        <f>IMAGE("https://mitra.stanford.edu/kundaje/oak/projects/neuro-variants/variant_position/credible/roussos_2024/variant_figures/roussos_2024.childhood.Astrocyte/rs17486808_count_position.png",4,220,900)</f>
        <v/>
      </c>
      <c r="T1134">
        <f>IMAGE("https://mitra.stanford.edu/kundaje/oak/projects/neuro-variants/variant_position/credible/roussos_2024/variant_figures/roussos_2024.childhood.Astrocyte/rs17486808_profile_position.png",4,220,900)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0.0446139526</v>
      </c>
      <c r="G1135" t="n">
        <v>0.2436291045216543</v>
      </c>
      <c r="H1135" t="n">
        <v>0.0134511787177243</v>
      </c>
      <c r="I1135" t="n">
        <v>0.3935690674650602</v>
      </c>
      <c r="J1135" t="n">
        <v>0.0003930907619854</v>
      </c>
      <c r="K1135" t="n">
        <v>0.9531155723075576</v>
      </c>
      <c r="L1135" t="b">
        <v>0</v>
      </c>
      <c r="M1135" t="b">
        <v>0</v>
      </c>
      <c r="N1135" t="inlineStr">
        <is>
          <t>alt</t>
        </is>
      </c>
      <c r="O1135" t="n">
        <v>75</v>
      </c>
      <c r="P1135" t="n">
        <v>0.004974</v>
      </c>
      <c r="Q1135" t="n">
        <v>100</v>
      </c>
      <c r="R1135" t="n">
        <v>0.04858</v>
      </c>
      <c r="S1135">
        <f>IMAGE("https://mitra.stanford.edu/kundaje/oak/projects/neuro-variants/variant_position/credible/roussos_2024/variant_figures/roussos_2024.childhood.Astrocyte/rs61973699_count_position.png",4,220,900)</f>
        <v/>
      </c>
      <c r="T1135">
        <f>IMAGE("https://mitra.stanford.edu/kundaje/oak/projects/neuro-variants/variant_position/credible/roussos_2024/variant_figures/roussos_2024.childhood.Astrocyte/rs61973699_profile_position.png",4,220,900)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0.0075453361799999</v>
      </c>
      <c r="G1136" t="n">
        <v>0.7378485066621138</v>
      </c>
      <c r="H1136" t="n">
        <v>0.0243395576120735</v>
      </c>
      <c r="I1136" t="n">
        <v>0.06479227753961871</v>
      </c>
      <c r="J1136" t="n">
        <v>0.0029783303946936</v>
      </c>
      <c r="K1136" t="n">
        <v>0.8369724774617903</v>
      </c>
      <c r="L1136" t="b">
        <v>0</v>
      </c>
      <c r="M1136" t="b">
        <v>0</v>
      </c>
      <c r="N1136" t="inlineStr">
        <is>
          <t>alt</t>
        </is>
      </c>
      <c r="O1136" t="n">
        <v>0</v>
      </c>
      <c r="P1136" t="n">
        <v>0</v>
      </c>
      <c r="Q1136" t="n">
        <v>100</v>
      </c>
      <c r="R1136" t="n">
        <v>0.0514</v>
      </c>
      <c r="S1136">
        <f>IMAGE("https://mitra.stanford.edu/kundaje/oak/projects/neuro-variants/variant_position/credible/roussos_2024/variant_figures/roussos_2024.childhood.Astrocyte/rs56313970_count_position.png",4,220,900)</f>
        <v/>
      </c>
      <c r="T1136">
        <f>IMAGE("https://mitra.stanford.edu/kundaje/oak/projects/neuro-variants/variant_position/credible/roussos_2024/variant_figures/roussos_2024.childhood.Astrocyte/rs56313970_profile_position.png",4,220,900)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0.00219606648</v>
      </c>
      <c r="G1137" t="n">
        <v>0.8438113836788736</v>
      </c>
      <c r="H1137" t="n">
        <v>0.0251384615973219</v>
      </c>
      <c r="I1137" t="n">
        <v>0.0582102186603181</v>
      </c>
      <c r="J1137" t="n">
        <v>0.0050849915657224</v>
      </c>
      <c r="K1137" t="n">
        <v>0.7767874572958623</v>
      </c>
      <c r="L1137" t="b">
        <v>0</v>
      </c>
      <c r="M1137" t="b">
        <v>0</v>
      </c>
      <c r="N1137" t="inlineStr">
        <is>
          <t>alt</t>
        </is>
      </c>
      <c r="O1137" t="n">
        <v>-55</v>
      </c>
      <c r="P1137" t="n">
        <v>0.01285</v>
      </c>
      <c r="Q1137" t="n">
        <v>-60</v>
      </c>
      <c r="R1137" t="n">
        <v>0.1095</v>
      </c>
      <c r="S1137">
        <f>IMAGE("https://mitra.stanford.edu/kundaje/oak/projects/neuro-variants/variant_position/credible/roussos_2024/variant_figures/roussos_2024.childhood.Astrocyte/rs55865304_count_position.png",4,220,900)</f>
        <v/>
      </c>
      <c r="T1137">
        <f>IMAGE("https://mitra.stanford.edu/kundaje/oak/projects/neuro-variants/variant_position/credible/roussos_2024/variant_figures/roussos_2024.childhood.Astrocyte/rs55865304_profile_position.png",4,220,900)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-0.089565353</v>
      </c>
      <c r="G1138" t="n">
        <v>0.08700576995409</v>
      </c>
      <c r="H1138" t="n">
        <v>0.0097811727479627</v>
      </c>
      <c r="I1138" t="n">
        <v>0.7236218614548227</v>
      </c>
      <c r="J1138" t="n">
        <v>0.0036912367474983</v>
      </c>
      <c r="K1138" t="n">
        <v>0.8133155510319416</v>
      </c>
      <c r="L1138" t="b">
        <v>0</v>
      </c>
      <c r="M1138" t="b">
        <v>0</v>
      </c>
      <c r="N1138" t="inlineStr">
        <is>
          <t>ref</t>
        </is>
      </c>
      <c r="O1138" t="n">
        <v>75</v>
      </c>
      <c r="P1138" t="n">
        <v>0.006027</v>
      </c>
      <c r="Q1138" t="n">
        <v>-30</v>
      </c>
      <c r="R1138" t="n">
        <v>0.03235</v>
      </c>
      <c r="S1138">
        <f>IMAGE("https://mitra.stanford.edu/kundaje/oak/projects/neuro-variants/variant_position/credible/roussos_2024/variant_figures/roussos_2024.childhood.Astrocyte/rs61973707_count_position.png",4,220,900)</f>
        <v/>
      </c>
      <c r="T1138">
        <f>IMAGE("https://mitra.stanford.edu/kundaje/oak/projects/neuro-variants/variant_position/credible/roussos_2024/variant_figures/roussos_2024.childhood.Astrocyte/rs61973707_profile_position.png",4,220,900)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0.0277083894</v>
      </c>
      <c r="G1139" t="n">
        <v>0.4191344501486138</v>
      </c>
      <c r="H1139" t="n">
        <v>0.0097735903300862</v>
      </c>
      <c r="I1139" t="n">
        <v>0.7412211645365265</v>
      </c>
      <c r="J1139" t="n">
        <v>0.0028180409577675</v>
      </c>
      <c r="K1139" t="n">
        <v>0.8332338010854821</v>
      </c>
      <c r="L1139" t="b">
        <v>0</v>
      </c>
      <c r="M1139" t="b">
        <v>0</v>
      </c>
      <c r="N1139" t="inlineStr">
        <is>
          <t>alt</t>
        </is>
      </c>
      <c r="O1139" t="n">
        <v>-10</v>
      </c>
      <c r="P1139" t="n">
        <v>0.003387</v>
      </c>
      <c r="Q1139" t="n">
        <v>-10</v>
      </c>
      <c r="R1139" t="n">
        <v>0.008670000000000001</v>
      </c>
      <c r="S1139">
        <f>IMAGE("https://mitra.stanford.edu/kundaje/oak/projects/neuro-variants/variant_position/credible/roussos_2024/variant_figures/roussos_2024.childhood.Astrocyte/rs12429854_count_position.png",4,220,900)</f>
        <v/>
      </c>
      <c r="T1139">
        <f>IMAGE("https://mitra.stanford.edu/kundaje/oak/projects/neuro-variants/variant_position/credible/roussos_2024/variant_figures/roussos_2024.childhood.Astrocyte/rs12429854_profile_position.png",4,220,900)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0.0007110129400000001</v>
      </c>
      <c r="G1140" t="n">
        <v>0.8749616492379596</v>
      </c>
      <c r="H1140" t="n">
        <v>0.0093867895703665</v>
      </c>
      <c r="I1140" t="n">
        <v>0.754856848979729</v>
      </c>
      <c r="J1140" t="n">
        <v>0.0071916527367512</v>
      </c>
      <c r="K1140" t="n">
        <v>0.7362214646540218</v>
      </c>
      <c r="L1140" t="b">
        <v>0</v>
      </c>
      <c r="M1140" t="b">
        <v>0</v>
      </c>
      <c r="N1140" t="inlineStr">
        <is>
          <t>alt</t>
        </is>
      </c>
      <c r="O1140" t="n">
        <v>55</v>
      </c>
      <c r="P1140" t="n">
        <v>0.02303</v>
      </c>
      <c r="Q1140" t="n">
        <v>45</v>
      </c>
      <c r="R1140" t="n">
        <v>0.0731</v>
      </c>
      <c r="S1140">
        <f>IMAGE("https://mitra.stanford.edu/kundaje/oak/projects/neuro-variants/variant_position/credible/roussos_2024/variant_figures/roussos_2024.childhood.Astrocyte/rs9585685_count_position.png",4,220,900)</f>
        <v/>
      </c>
      <c r="T1140">
        <f>IMAGE("https://mitra.stanford.edu/kundaje/oak/projects/neuro-variants/variant_position/credible/roussos_2024/variant_figures/roussos_2024.childhood.Astrocyte/rs9585685_profile_position.png",4,220,900)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-0.0537253826</v>
      </c>
      <c r="G1141" t="n">
        <v>0.2023991327037881</v>
      </c>
      <c r="H1141" t="n">
        <v>0.0164933185585932</v>
      </c>
      <c r="I1141" t="n">
        <v>0.2249407695869131</v>
      </c>
      <c r="J1141" t="n">
        <v>0.0481501835695693</v>
      </c>
      <c r="K1141" t="n">
        <v>0.4552455102403838</v>
      </c>
      <c r="L1141" t="b">
        <v>0</v>
      </c>
      <c r="M1141" t="b">
        <v>0</v>
      </c>
      <c r="N1141" t="inlineStr">
        <is>
          <t>ref</t>
        </is>
      </c>
      <c r="O1141" t="n">
        <v>100</v>
      </c>
      <c r="P1141" t="n">
        <v>0.00494</v>
      </c>
      <c r="Q1141" t="n">
        <v>-100</v>
      </c>
      <c r="R1141" t="n">
        <v>0.11115</v>
      </c>
      <c r="S1141">
        <f>IMAGE("https://mitra.stanford.edu/kundaje/oak/projects/neuro-variants/variant_position/credible/roussos_2024/variant_figures/roussos_2024.childhood.Astrocyte/rs9559929_count_position.png",4,220,900)</f>
        <v/>
      </c>
      <c r="T1141">
        <f>IMAGE("https://mitra.stanford.edu/kundaje/oak/projects/neuro-variants/variant_position/credible/roussos_2024/variant_figures/roussos_2024.childhood.Astrocyte/rs9559929_profile_position.png",4,220,900)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-0.074278448</v>
      </c>
      <c r="G1142" t="n">
        <v>0.131075859879873</v>
      </c>
      <c r="H1142" t="n">
        <v>0.024255692384512</v>
      </c>
      <c r="I1142" t="n">
        <v>0.0700284085107078</v>
      </c>
      <c r="J1142" t="n">
        <v>0.0242807965621731</v>
      </c>
      <c r="K1142" t="n">
        <v>0.5648724987652215</v>
      </c>
      <c r="L1142" t="b">
        <v>0</v>
      </c>
      <c r="M1142" t="b">
        <v>0</v>
      </c>
      <c r="N1142" t="inlineStr">
        <is>
          <t>ref</t>
        </is>
      </c>
      <c r="O1142" t="n">
        <v>100</v>
      </c>
      <c r="P1142" t="n">
        <v>0.01396</v>
      </c>
      <c r="Q1142" t="n">
        <v>35</v>
      </c>
      <c r="R1142" t="n">
        <v>0.0418</v>
      </c>
      <c r="S1142">
        <f>IMAGE("https://mitra.stanford.edu/kundaje/oak/projects/neuro-variants/variant_position/credible/roussos_2024/variant_figures/roussos_2024.childhood.Astrocyte/rs9559931_count_position.png",4,220,900)</f>
        <v/>
      </c>
      <c r="T1142">
        <f>IMAGE("https://mitra.stanford.edu/kundaje/oak/projects/neuro-variants/variant_position/credible/roussos_2024/variant_figures/roussos_2024.childhood.Astrocyte/rs9559931_profile_position.png",4,220,900)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0.0417956687</v>
      </c>
      <c r="G1143" t="n">
        <v>0.1280320210243835</v>
      </c>
      <c r="H1143" t="n">
        <v>0.0202600067686252</v>
      </c>
      <c r="I1143" t="n">
        <v>0.1321527360065202</v>
      </c>
      <c r="J1143" t="n">
        <v>0.028729973361422</v>
      </c>
      <c r="K1143" t="n">
        <v>0.5348599417990423</v>
      </c>
      <c r="L1143" t="b">
        <v>0</v>
      </c>
      <c r="M1143" t="b">
        <v>0</v>
      </c>
      <c r="N1143" t="inlineStr">
        <is>
          <t>alt</t>
        </is>
      </c>
      <c r="O1143" t="n">
        <v>100</v>
      </c>
      <c r="P1143" t="n">
        <v>0.01308</v>
      </c>
      <c r="Q1143" t="n">
        <v>30</v>
      </c>
      <c r="R1143" t="n">
        <v>0.05676</v>
      </c>
      <c r="S1143">
        <f>IMAGE("https://mitra.stanford.edu/kundaje/oak/projects/neuro-variants/variant_position/credible/roussos_2024/variant_figures/roussos_2024.childhood.Astrocyte/rs9559932_count_position.png",4,220,900)</f>
        <v/>
      </c>
      <c r="T1143">
        <f>IMAGE("https://mitra.stanford.edu/kundaje/oak/projects/neuro-variants/variant_position/credible/roussos_2024/variant_figures/roussos_2024.childhood.Astrocyte/rs9559932_profile_position.png",4,220,900)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0.0638489362</v>
      </c>
      <c r="G1144" t="n">
        <v>0.1629596705275261</v>
      </c>
      <c r="H1144" t="n">
        <v>0.0388659358069583</v>
      </c>
      <c r="I1144" t="n">
        <v>0.0111097306836233</v>
      </c>
      <c r="J1144" t="n">
        <v>0.0061512979627975</v>
      </c>
      <c r="K1144" t="n">
        <v>0.7685046108146941</v>
      </c>
      <c r="L1144" t="b">
        <v>0</v>
      </c>
      <c r="M1144" t="b">
        <v>0</v>
      </c>
      <c r="N1144" t="inlineStr">
        <is>
          <t>alt</t>
        </is>
      </c>
      <c r="O1144" t="n">
        <v>25</v>
      </c>
      <c r="P1144" t="n">
        <v>0.00818</v>
      </c>
      <c r="Q1144" t="n">
        <v>20</v>
      </c>
      <c r="R1144" t="n">
        <v>0.03076</v>
      </c>
      <c r="S1144">
        <f>IMAGE("https://mitra.stanford.edu/kundaje/oak/projects/neuro-variants/variant_position/credible/roussos_2024/variant_figures/roussos_2024.childhood.Astrocyte/rs9559934_count_position.png",4,220,900)</f>
        <v/>
      </c>
      <c r="T1144">
        <f>IMAGE("https://mitra.stanford.edu/kundaje/oak/projects/neuro-variants/variant_position/credible/roussos_2024/variant_figures/roussos_2024.childhood.Astrocyte/rs9559934_profile_position.png",4,220,900)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-0.4365004179999999</v>
      </c>
      <c r="G1145" t="n">
        <v>0.001884697909191</v>
      </c>
      <c r="H1145" t="n">
        <v>0.0641962259567984</v>
      </c>
      <c r="I1145" t="n">
        <v>0.0018524009291205</v>
      </c>
      <c r="J1145" t="n">
        <v>0.2422408463282269</v>
      </c>
      <c r="K1145" t="n">
        <v>0.1689969524328221</v>
      </c>
      <c r="L1145" t="b">
        <v>1</v>
      </c>
      <c r="M1145" t="b">
        <v>1</v>
      </c>
      <c r="N1145" t="inlineStr">
        <is>
          <t>ref</t>
        </is>
      </c>
      <c r="O1145" t="n">
        <v>30</v>
      </c>
      <c r="P1145" t="n">
        <v>0.008545000000000001</v>
      </c>
      <c r="Q1145" t="n">
        <v>30</v>
      </c>
      <c r="R1145" t="n">
        <v>0.1455</v>
      </c>
      <c r="S1145">
        <f>IMAGE("https://mitra.stanford.edu/kundaje/oak/projects/neuro-variants/variant_position/credible/roussos_2024/variant_figures/roussos_2024.childhood.Astrocyte/rs34061305_count_position.png",4,220,900)</f>
        <v/>
      </c>
      <c r="T1145">
        <f>IMAGE("https://mitra.stanford.edu/kundaje/oak/projects/neuro-variants/variant_position/credible/roussos_2024/variant_figures/roussos_2024.childhood.Astrocyte/rs34061305_profile_position.png",4,220,900)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0.0326801146</v>
      </c>
      <c r="G1146" t="n">
        <v>0.3445484864768289</v>
      </c>
      <c r="H1146" t="n">
        <v>0.0135666308696926</v>
      </c>
      <c r="I1146" t="n">
        <v>0.3891617038020762</v>
      </c>
      <c r="J1146" t="n">
        <v>0.0753055040339507</v>
      </c>
      <c r="K1146" t="n">
        <v>0.3764484786973214</v>
      </c>
      <c r="L1146" t="b">
        <v>0</v>
      </c>
      <c r="M1146" t="b">
        <v>0</v>
      </c>
      <c r="N1146" t="inlineStr">
        <is>
          <t>alt</t>
        </is>
      </c>
      <c r="O1146" t="n">
        <v>5</v>
      </c>
      <c r="P1146" t="n">
        <v>0.0006294</v>
      </c>
      <c r="Q1146" t="n">
        <v>-100</v>
      </c>
      <c r="R1146" t="n">
        <v>0.09564</v>
      </c>
      <c r="S1146">
        <f>IMAGE("https://mitra.stanford.edu/kundaje/oak/projects/neuro-variants/variant_position/credible/roussos_2024/variant_figures/roussos_2024.childhood.Astrocyte/rs9522088_count_position.png",4,220,900)</f>
        <v/>
      </c>
      <c r="T1146">
        <f>IMAGE("https://mitra.stanford.edu/kundaje/oak/projects/neuro-variants/variant_position/credible/roussos_2024/variant_figures/roussos_2024.childhood.Astrocyte/rs9522088_profile_position.png",4,220,900)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-0.161579056</v>
      </c>
      <c r="G1147" t="n">
        <v>0.0396498417454047</v>
      </c>
      <c r="H1147" t="n">
        <v>0.0490566323162615</v>
      </c>
      <c r="I1147" t="n">
        <v>0.0062447831425525</v>
      </c>
      <c r="J1147" t="n">
        <v>0.1736461267202491</v>
      </c>
      <c r="K1147" t="n">
        <v>0.2267569220225272</v>
      </c>
      <c r="L1147" t="b">
        <v>1</v>
      </c>
      <c r="M1147" t="b">
        <v>1</v>
      </c>
      <c r="N1147" t="inlineStr">
        <is>
          <t>ref</t>
        </is>
      </c>
      <c r="O1147" t="n">
        <v>25</v>
      </c>
      <c r="P1147" t="n">
        <v>0.004303</v>
      </c>
      <c r="Q1147" t="n">
        <v>20</v>
      </c>
      <c r="R1147" t="n">
        <v>0.0935</v>
      </c>
      <c r="S1147">
        <f>IMAGE("https://mitra.stanford.edu/kundaje/oak/projects/neuro-variants/variant_position/credible/roussos_2024/variant_figures/roussos_2024.childhood.Astrocyte/rs9515358_count_position.png",4,220,900)</f>
        <v/>
      </c>
      <c r="T1147">
        <f>IMAGE("https://mitra.stanford.edu/kundaje/oak/projects/neuro-variants/variant_position/credible/roussos_2024/variant_figures/roussos_2024.childhood.Astrocyte/rs9515358_profile_position.png",4,220,900)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0.0185382366</v>
      </c>
      <c r="G1148" t="n">
        <v>0.5443834726998116</v>
      </c>
      <c r="H1148" t="n">
        <v>0.0261464429343683</v>
      </c>
      <c r="I1148" t="n">
        <v>0.050907915005021</v>
      </c>
      <c r="J1148" t="n">
        <v>0.0021432987566118</v>
      </c>
      <c r="K1148" t="n">
        <v>0.8513585267399523</v>
      </c>
      <c r="L1148" t="b">
        <v>0</v>
      </c>
      <c r="M1148" t="b">
        <v>0</v>
      </c>
      <c r="N1148" t="inlineStr">
        <is>
          <t>alt</t>
        </is>
      </c>
      <c r="O1148" t="n">
        <v>-25</v>
      </c>
      <c r="P1148" t="n">
        <v>0.002296</v>
      </c>
      <c r="Q1148" t="n">
        <v>5</v>
      </c>
      <c r="R1148" t="n">
        <v>0.01071</v>
      </c>
      <c r="S1148">
        <f>IMAGE("https://mitra.stanford.edu/kundaje/oak/projects/neuro-variants/variant_position/credible/roussos_2024/variant_figures/roussos_2024.childhood.Astrocyte/rs9559947_count_position.png",4,220,900)</f>
        <v/>
      </c>
      <c r="T1148">
        <f>IMAGE("https://mitra.stanford.edu/kundaje/oak/projects/neuro-variants/variant_position/credible/roussos_2024/variant_figures/roussos_2024.childhood.Astrocyte/rs9559947_profile_position.png",4,220,900)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-0.244854606</v>
      </c>
      <c r="G1149" t="n">
        <v>0.0110480020051602</v>
      </c>
      <c r="H1149" t="n">
        <v>0.0245231091433324</v>
      </c>
      <c r="I1149" t="n">
        <v>0.0664352967640668</v>
      </c>
      <c r="J1149" t="n">
        <v>0.1224809751704029</v>
      </c>
      <c r="K1149" t="n">
        <v>0.2878770125757229</v>
      </c>
      <c r="L1149" t="b">
        <v>1</v>
      </c>
      <c r="M1149" t="b">
        <v>0</v>
      </c>
      <c r="N1149" t="inlineStr">
        <is>
          <t>ref</t>
        </is>
      </c>
      <c r="O1149" t="n">
        <v>-35</v>
      </c>
      <c r="P1149" t="n">
        <v>0.00976</v>
      </c>
      <c r="Q1149" t="n">
        <v>75</v>
      </c>
      <c r="R1149" t="n">
        <v>0.0779</v>
      </c>
      <c r="S1149">
        <f>IMAGE("https://mitra.stanford.edu/kundaje/oak/projects/neuro-variants/variant_position/credible/roussos_2024/variant_figures/roussos_2024.childhood.Astrocyte/rs1888848_count_position.png",4,220,900)</f>
        <v/>
      </c>
      <c r="T1149">
        <f>IMAGE("https://mitra.stanford.edu/kundaje/oak/projects/neuro-variants/variant_position/credible/roussos_2024/variant_figures/roussos_2024.childhood.Astrocyte/rs1888848_profile_position.png",4,220,900)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-0.026460795488</v>
      </c>
      <c r="G1150" t="n">
        <v>0.2242513461388051</v>
      </c>
      <c r="H1150" t="n">
        <v>0.0162509154704779</v>
      </c>
      <c r="I1150" t="n">
        <v>0.2437910074669987</v>
      </c>
      <c r="J1150" t="n">
        <v>0.1233923351117827</v>
      </c>
      <c r="K1150" t="n">
        <v>0.2857985690327888</v>
      </c>
      <c r="L1150" t="b">
        <v>0</v>
      </c>
      <c r="M1150" t="b">
        <v>0</v>
      </c>
      <c r="N1150" t="inlineStr">
        <is>
          <t>ref</t>
        </is>
      </c>
      <c r="O1150" t="n">
        <v>-40</v>
      </c>
      <c r="P1150" t="n">
        <v>0.0143</v>
      </c>
      <c r="Q1150" t="n">
        <v>-75</v>
      </c>
      <c r="R1150" t="n">
        <v>0.1105</v>
      </c>
      <c r="S1150">
        <f>IMAGE("https://mitra.stanford.edu/kundaje/oak/projects/neuro-variants/variant_position/credible/roussos_2024/variant_figures/roussos_2024.childhood.Astrocyte/rs1888847_count_position.png",4,220,900)</f>
        <v/>
      </c>
      <c r="T1150">
        <f>IMAGE("https://mitra.stanford.edu/kundaje/oak/projects/neuro-variants/variant_position/credible/roussos_2024/variant_figures/roussos_2024.childhood.Astrocyte/rs1888847_profile_position.png",4,220,900)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0.0218626327999999</v>
      </c>
      <c r="G1151" t="n">
        <v>0.4466825541612063</v>
      </c>
      <c r="H1151" t="n">
        <v>0.0103034375801656</v>
      </c>
      <c r="I1151" t="n">
        <v>0.6810180665447574</v>
      </c>
      <c r="J1151" t="n">
        <v>0.0752795524108293</v>
      </c>
      <c r="K1151" t="n">
        <v>0.3751753663192628</v>
      </c>
      <c r="L1151" t="b">
        <v>0</v>
      </c>
      <c r="M1151" t="b">
        <v>0</v>
      </c>
      <c r="N1151" t="inlineStr">
        <is>
          <t>alt</t>
        </is>
      </c>
      <c r="O1151" t="n">
        <v>55</v>
      </c>
      <c r="P1151" t="n">
        <v>0.002546</v>
      </c>
      <c r="Q1151" t="n">
        <v>-55</v>
      </c>
      <c r="R1151" t="n">
        <v>0.11597</v>
      </c>
      <c r="S1151">
        <f>IMAGE("https://mitra.stanford.edu/kundaje/oak/projects/neuro-variants/variant_position/credible/roussos_2024/variant_figures/roussos_2024.childhood.Astrocyte/rs1810895_count_position.png",4,220,900)</f>
        <v/>
      </c>
      <c r="T1151">
        <f>IMAGE("https://mitra.stanford.edu/kundaje/oak/projects/neuro-variants/variant_position/credible/roussos_2024/variant_figures/roussos_2024.childhood.Astrocyte/rs1810895_profile_position.png",4,220,900)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0.076632072</v>
      </c>
      <c r="G1152" t="n">
        <v>0.1095358090719639</v>
      </c>
      <c r="H1152" t="n">
        <v>0.0197302237208964</v>
      </c>
      <c r="I1152" t="n">
        <v>0.1329132397581111</v>
      </c>
      <c r="J1152" t="n">
        <v>0.008774701747154799</v>
      </c>
      <c r="K1152" t="n">
        <v>0.7061814170127824</v>
      </c>
      <c r="L1152" t="b">
        <v>0</v>
      </c>
      <c r="M1152" t="b">
        <v>0</v>
      </c>
      <c r="N1152" t="inlineStr">
        <is>
          <t>alt</t>
        </is>
      </c>
      <c r="O1152" t="n">
        <v>-5</v>
      </c>
      <c r="P1152" t="n">
        <v>0.0001221</v>
      </c>
      <c r="Q1152" t="n">
        <v>-55</v>
      </c>
      <c r="R1152" t="n">
        <v>0.01109</v>
      </c>
      <c r="S1152">
        <f>IMAGE("https://mitra.stanford.edu/kundaje/oak/projects/neuro-variants/variant_position/credible/roussos_2024/variant_figures/roussos_2024.childhood.Astrocyte/rs75592562_count_position.png",4,220,900)</f>
        <v/>
      </c>
      <c r="T1152">
        <f>IMAGE("https://mitra.stanford.edu/kundaje/oak/projects/neuro-variants/variant_position/credible/roussos_2024/variant_figures/roussos_2024.childhood.Astrocyte/rs75592562_profile_position.png",4,220,900)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-0.01007845648</v>
      </c>
      <c r="G1153" t="n">
        <v>0.4546219248914945</v>
      </c>
      <c r="H1153" t="n">
        <v>0.0135343152755222</v>
      </c>
      <c r="I1153" t="n">
        <v>0.3838335963008448</v>
      </c>
      <c r="J1153" t="n">
        <v>0.0075855067817696</v>
      </c>
      <c r="K1153" t="n">
        <v>0.725552663969655</v>
      </c>
      <c r="L1153" t="b">
        <v>0</v>
      </c>
      <c r="M1153" t="b">
        <v>0</v>
      </c>
      <c r="N1153" t="inlineStr">
        <is>
          <t>ref</t>
        </is>
      </c>
      <c r="O1153" t="n">
        <v>-35</v>
      </c>
      <c r="P1153" t="n">
        <v>0.0468</v>
      </c>
      <c r="Q1153" t="n">
        <v>-90</v>
      </c>
      <c r="R1153" t="n">
        <v>0.1239</v>
      </c>
      <c r="S1153">
        <f>IMAGE("https://mitra.stanford.edu/kundaje/oak/projects/neuro-variants/variant_position/credible/roussos_2024/variant_figures/roussos_2024.childhood.Astrocyte/rs74241867_count_position.png",4,220,900)</f>
        <v/>
      </c>
      <c r="T1153">
        <f>IMAGE("https://mitra.stanford.edu/kundaje/oak/projects/neuro-variants/variant_position/credible/roussos_2024/variant_figures/roussos_2024.childhood.Astrocyte/rs74241867_profile_position.png",4,220,900)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0.0233509044</v>
      </c>
      <c r="G1154" t="n">
        <v>0.353887746843669</v>
      </c>
      <c r="H1154" t="n">
        <v>0.009033204540293899</v>
      </c>
      <c r="I1154" t="n">
        <v>0.7958411983943546</v>
      </c>
      <c r="J1154" t="n">
        <v>0.0057452313892514</v>
      </c>
      <c r="K1154" t="n">
        <v>0.767671538734083</v>
      </c>
      <c r="L1154" t="b">
        <v>0</v>
      </c>
      <c r="M1154" t="b">
        <v>0</v>
      </c>
      <c r="N1154" t="inlineStr">
        <is>
          <t>alt</t>
        </is>
      </c>
      <c r="O1154" t="n">
        <v>-40</v>
      </c>
      <c r="P1154" t="n">
        <v>0.1076</v>
      </c>
      <c r="Q1154" t="n">
        <v>-85</v>
      </c>
      <c r="R1154" t="n">
        <v>0.0876</v>
      </c>
      <c r="S1154">
        <f>IMAGE("https://mitra.stanford.edu/kundaje/oak/projects/neuro-variants/variant_position/credible/roussos_2024/variant_figures/roussos_2024.childhood.Astrocyte/rs2319380_count_position.png",4,220,900)</f>
        <v/>
      </c>
      <c r="T1154">
        <f>IMAGE("https://mitra.stanford.edu/kundaje/oak/projects/neuro-variants/variant_position/credible/roussos_2024/variant_figures/roussos_2024.childhood.Astrocyte/rs2319380_profile_position.png",4,220,900)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0.362359838</v>
      </c>
      <c r="G1155" t="n">
        <v>0.0031675646135952</v>
      </c>
      <c r="H1155" t="n">
        <v>0.0615568125835756</v>
      </c>
      <c r="I1155" t="n">
        <v>0.0019657308396602</v>
      </c>
      <c r="J1155" t="n">
        <v>0.0277567874943707</v>
      </c>
      <c r="K1155" t="n">
        <v>0.5431075150641238</v>
      </c>
      <c r="L1155" t="b">
        <v>1</v>
      </c>
      <c r="M1155" t="b">
        <v>1</v>
      </c>
      <c r="N1155" t="inlineStr">
        <is>
          <t>alt</t>
        </is>
      </c>
      <c r="O1155" t="n">
        <v>-95</v>
      </c>
      <c r="P1155" t="n">
        <v>0.003387</v>
      </c>
      <c r="Q1155" t="n">
        <v>70</v>
      </c>
      <c r="R1155" t="n">
        <v>0.07886</v>
      </c>
      <c r="S1155">
        <f>IMAGE("https://mitra.stanford.edu/kundaje/oak/projects/neuro-variants/variant_position/credible/roussos_2024/variant_figures/roussos_2024.childhood.Astrocyte/rs10146921_count_position.png",4,220,900)</f>
        <v/>
      </c>
      <c r="T1155">
        <f>IMAGE("https://mitra.stanford.edu/kundaje/oak/projects/neuro-variants/variant_position/credible/roussos_2024/variant_figures/roussos_2024.childhood.Astrocyte/rs10146921_profile_position.png",4,220,900)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-0.0339069649</v>
      </c>
      <c r="G1156" t="n">
        <v>0.332412428714252</v>
      </c>
      <c r="H1156" t="n">
        <v>0.0128552291713659</v>
      </c>
      <c r="I1156" t="n">
        <v>0.437890498983689</v>
      </c>
      <c r="J1156" t="n">
        <v>0.7772053155030416</v>
      </c>
      <c r="K1156" t="n">
        <v>0.0099881646613949</v>
      </c>
      <c r="L1156" t="b">
        <v>0</v>
      </c>
      <c r="M1156" t="b">
        <v>0</v>
      </c>
      <c r="N1156" t="inlineStr">
        <is>
          <t>ref</t>
        </is>
      </c>
      <c r="O1156" t="n">
        <v>-80</v>
      </c>
      <c r="P1156" t="n">
        <v>0.006607</v>
      </c>
      <c r="Q1156" t="n">
        <v>20</v>
      </c>
      <c r="R1156" t="n">
        <v>0.01758</v>
      </c>
      <c r="S1156">
        <f>IMAGE("https://mitra.stanford.edu/kundaje/oak/projects/neuro-variants/variant_position/credible/roussos_2024/variant_figures/roussos_2024.childhood.Astrocyte/rs12587456_count_position.png",4,220,900)</f>
        <v/>
      </c>
      <c r="T1156">
        <f>IMAGE("https://mitra.stanford.edu/kundaje/oak/projects/neuro-variants/variant_position/credible/roussos_2024/variant_figures/roussos_2024.childhood.Astrocyte/rs12587456_profile_position.png",4,220,900)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-0.0633934383999999</v>
      </c>
      <c r="G1157" t="n">
        <v>0.1747040029283652</v>
      </c>
      <c r="H1157" t="n">
        <v>0.0121968709092589</v>
      </c>
      <c r="I1157" t="n">
        <v>0.4942741761423727</v>
      </c>
      <c r="J1157" t="n">
        <v>0.0462320533076869</v>
      </c>
      <c r="K1157" t="n">
        <v>0.4725993967913104</v>
      </c>
      <c r="L1157" t="b">
        <v>0</v>
      </c>
      <c r="M1157" t="b">
        <v>0</v>
      </c>
      <c r="N1157" t="inlineStr">
        <is>
          <t>ref</t>
        </is>
      </c>
      <c r="O1157" t="n">
        <v>100</v>
      </c>
      <c r="P1157" t="n">
        <v>0.001938</v>
      </c>
      <c r="Q1157" t="n">
        <v>-30</v>
      </c>
      <c r="R1157" t="n">
        <v>0.0293</v>
      </c>
      <c r="S1157">
        <f>IMAGE("https://mitra.stanford.edu/kundaje/oak/projects/neuro-variants/variant_position/credible/roussos_2024/variant_figures/roussos_2024.childhood.Astrocyte/rs60652177_count_position.png",4,220,900)</f>
        <v/>
      </c>
      <c r="T1157">
        <f>IMAGE("https://mitra.stanford.edu/kundaje/oak/projects/neuro-variants/variant_position/credible/roussos_2024/variant_figures/roussos_2024.childhood.Astrocyte/rs60652177_profile_position.png",4,220,900)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0.0205580844</v>
      </c>
      <c r="G1158" t="n">
        <v>0.4973240025185458</v>
      </c>
      <c r="H1158" t="n">
        <v>0.0114481298024</v>
      </c>
      <c r="I1158" t="n">
        <v>0.550912159812976</v>
      </c>
      <c r="J1158" t="n">
        <v>0.0013517742514101</v>
      </c>
      <c r="K1158" t="n">
        <v>0.885569080005653</v>
      </c>
      <c r="L1158" t="b">
        <v>0</v>
      </c>
      <c r="M1158" t="b">
        <v>0</v>
      </c>
      <c r="N1158" t="inlineStr">
        <is>
          <t>alt</t>
        </is>
      </c>
      <c r="O1158" t="n">
        <v>-95</v>
      </c>
      <c r="P1158" t="n">
        <v>0.003471</v>
      </c>
      <c r="Q1158" t="n">
        <v>30</v>
      </c>
      <c r="R1158" t="n">
        <v>0.0716</v>
      </c>
      <c r="S1158">
        <f>IMAGE("https://mitra.stanford.edu/kundaje/oak/projects/neuro-variants/variant_position/credible/roussos_2024/variant_figures/roussos_2024.childhood.Astrocyte/rs10148671_count_position.png",4,220,900)</f>
        <v/>
      </c>
      <c r="T1158">
        <f>IMAGE("https://mitra.stanford.edu/kundaje/oak/projects/neuro-variants/variant_position/credible/roussos_2024/variant_figures/roussos_2024.childhood.Astrocyte/rs10148671_profile_position.png",4,220,900)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-0.29448495</v>
      </c>
      <c r="G1159" t="n">
        <v>0.0060466069949369</v>
      </c>
      <c r="H1159" t="n">
        <v>0.037737082378894</v>
      </c>
      <c r="I1159" t="n">
        <v>0.0125191728432348</v>
      </c>
      <c r="J1159" t="n">
        <v>0.0778502896659109</v>
      </c>
      <c r="K1159" t="n">
        <v>0.3655056915635267</v>
      </c>
      <c r="L1159" t="b">
        <v>1</v>
      </c>
      <c r="M1159" t="b">
        <v>1</v>
      </c>
      <c r="N1159" t="inlineStr">
        <is>
          <t>ref</t>
        </is>
      </c>
      <c r="O1159" t="n">
        <v>-30</v>
      </c>
      <c r="P1159" t="n">
        <v>0.0045</v>
      </c>
      <c r="Q1159" t="n">
        <v>25</v>
      </c>
      <c r="R1159" t="n">
        <v>0.0886</v>
      </c>
      <c r="S1159">
        <f>IMAGE("https://mitra.stanford.edu/kundaje/oak/projects/neuro-variants/variant_position/credible/roussos_2024/variant_figures/roussos_2024.childhood.Astrocyte/rs1886456_count_position.png",4,220,900)</f>
        <v/>
      </c>
      <c r="T1159">
        <f>IMAGE("https://mitra.stanford.edu/kundaje/oak/projects/neuro-variants/variant_position/credible/roussos_2024/variant_figures/roussos_2024.childhood.Astrocyte/rs1886456_profile_position.png",4,220,900)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0.0794774338</v>
      </c>
      <c r="G1160" t="n">
        <v>0.1106148000336621</v>
      </c>
      <c r="H1160" t="n">
        <v>0.0139682180050528</v>
      </c>
      <c r="I1160" t="n">
        <v>0.3629639050003411</v>
      </c>
      <c r="J1160" t="n">
        <v>0.0027814033721843</v>
      </c>
      <c r="K1160" t="n">
        <v>0.8293366782180067</v>
      </c>
      <c r="L1160" t="b">
        <v>0</v>
      </c>
      <c r="M1160" t="b">
        <v>0</v>
      </c>
      <c r="N1160" t="inlineStr">
        <is>
          <t>alt</t>
        </is>
      </c>
      <c r="O1160" t="n">
        <v>-100</v>
      </c>
      <c r="P1160" t="n">
        <v>0.01193</v>
      </c>
      <c r="Q1160" t="n">
        <v>-45</v>
      </c>
      <c r="R1160" t="n">
        <v>0.03516</v>
      </c>
      <c r="S1160">
        <f>IMAGE("https://mitra.stanford.edu/kundaje/oak/projects/neuro-variants/variant_position/credible/roussos_2024/variant_figures/roussos_2024.childhood.Astrocyte/rs12882564_count_position.png",4,220,900)</f>
        <v/>
      </c>
      <c r="T1160">
        <f>IMAGE("https://mitra.stanford.edu/kundaje/oak/projects/neuro-variants/variant_position/credible/roussos_2024/variant_figures/roussos_2024.childhood.Astrocyte/rs12882564_profile_position.png",4,220,900)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0.01863469232</v>
      </c>
      <c r="G1161" t="n">
        <v>0.4679810034917416</v>
      </c>
      <c r="H1161" t="n">
        <v>0.0114665547067322</v>
      </c>
      <c r="I1161" t="n">
        <v>0.5556433556930206</v>
      </c>
      <c r="J1161" t="n">
        <v>0.000282414722203</v>
      </c>
      <c r="K1161" t="n">
        <v>0.9642315639093788</v>
      </c>
      <c r="L1161" t="b">
        <v>0</v>
      </c>
      <c r="M1161" t="b">
        <v>0</v>
      </c>
      <c r="N1161" t="inlineStr">
        <is>
          <t>alt</t>
        </is>
      </c>
      <c r="O1161" t="n">
        <v>-60</v>
      </c>
      <c r="P1161" t="n">
        <v>0.0028</v>
      </c>
      <c r="Q1161" t="n">
        <v>-95</v>
      </c>
      <c r="R1161" t="n">
        <v>0.1051</v>
      </c>
      <c r="S1161">
        <f>IMAGE("https://mitra.stanford.edu/kundaje/oak/projects/neuro-variants/variant_position/credible/roussos_2024/variant_figures/roussos_2024.childhood.Astrocyte/rs1956235_count_position.png",4,220,900)</f>
        <v/>
      </c>
      <c r="T1161">
        <f>IMAGE("https://mitra.stanford.edu/kundaje/oak/projects/neuro-variants/variant_position/credible/roussos_2024/variant_figures/roussos_2024.childhood.Astrocyte/rs1956235_profile_position.png",4,220,900)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-0.016074519</v>
      </c>
      <c r="G1162" t="n">
        <v>0.6021406609089908</v>
      </c>
      <c r="H1162" t="n">
        <v>0.0301293101884609</v>
      </c>
      <c r="I1162" t="n">
        <v>0.0301066403633608</v>
      </c>
      <c r="J1162" t="n">
        <v>0.0056063138772488</v>
      </c>
      <c r="K1162" t="n">
        <v>0.7696812432903318</v>
      </c>
      <c r="L1162" t="b">
        <v>0</v>
      </c>
      <c r="M1162" t="b">
        <v>0</v>
      </c>
      <c r="N1162" t="inlineStr">
        <is>
          <t>ref</t>
        </is>
      </c>
      <c r="O1162" t="n">
        <v>70</v>
      </c>
      <c r="P1162" t="n">
        <v>0.008835000000000001</v>
      </c>
      <c r="Q1162" t="n">
        <v>85</v>
      </c>
      <c r="R1162" t="n">
        <v>0.08795</v>
      </c>
      <c r="S1162">
        <f>IMAGE("https://mitra.stanford.edu/kundaje/oak/projects/neuro-variants/variant_position/credible/roussos_2024/variant_figures/roussos_2024.childhood.Astrocyte/rs4636809_count_position.png",4,220,900)</f>
        <v/>
      </c>
      <c r="T1162">
        <f>IMAGE("https://mitra.stanford.edu/kundaje/oak/projects/neuro-variants/variant_position/credible/roussos_2024/variant_figures/roussos_2024.childhood.Astrocyte/rs4636809_profile_position.png",4,220,900)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0.0131624324599999</v>
      </c>
      <c r="G1163" t="n">
        <v>0.6537888177596977</v>
      </c>
      <c r="H1163" t="n">
        <v>0.0188723875834559</v>
      </c>
      <c r="I1163" t="n">
        <v>0.1536480438982946</v>
      </c>
      <c r="J1163" t="n">
        <v>0.078341843939151</v>
      </c>
      <c r="K1163" t="n">
        <v>0.3657482217422816</v>
      </c>
      <c r="L1163" t="b">
        <v>0</v>
      </c>
      <c r="M1163" t="b">
        <v>0</v>
      </c>
      <c r="N1163" t="inlineStr">
        <is>
          <t>alt</t>
        </is>
      </c>
      <c r="O1163" t="n">
        <v>80</v>
      </c>
      <c r="P1163" t="n">
        <v>0.0041</v>
      </c>
      <c r="Q1163" t="n">
        <v>40</v>
      </c>
      <c r="R1163" t="n">
        <v>0.03314</v>
      </c>
      <c r="S1163">
        <f>IMAGE("https://mitra.stanford.edu/kundaje/oak/projects/neuro-variants/variant_position/credible/roussos_2024/variant_figures/roussos_2024.childhood.Astrocyte/rs1191547_count_position.png",4,220,900)</f>
        <v/>
      </c>
      <c r="T1163">
        <f>IMAGE("https://mitra.stanford.edu/kundaje/oak/projects/neuro-variants/variant_position/credible/roussos_2024/variant_figures/roussos_2024.childhood.Astrocyte/rs1191547_profile_position.png",4,220,900)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-0.0333643586</v>
      </c>
      <c r="G1164" t="n">
        <v>0.354970066992253</v>
      </c>
      <c r="H1164" t="n">
        <v>0.009309508195003299</v>
      </c>
      <c r="I1164" t="n">
        <v>0.7852888909668838</v>
      </c>
      <c r="J1164" t="n">
        <v>0.008930411485883</v>
      </c>
      <c r="K1164" t="n">
        <v>0.7095185913500179</v>
      </c>
      <c r="L1164" t="b">
        <v>0</v>
      </c>
      <c r="M1164" t="b">
        <v>0</v>
      </c>
      <c r="N1164" t="inlineStr">
        <is>
          <t>ref</t>
        </is>
      </c>
      <c r="O1164" t="n">
        <v>75</v>
      </c>
      <c r="P1164" t="n">
        <v>0.004013</v>
      </c>
      <c r="Q1164" t="n">
        <v>-100</v>
      </c>
      <c r="R1164" t="n">
        <v>0.1655</v>
      </c>
      <c r="S1164">
        <f>IMAGE("https://mitra.stanford.edu/kundaje/oak/projects/neuro-variants/variant_position/credible/roussos_2024/variant_figures/roussos_2024.childhood.Astrocyte/rs3783301_count_position.png",4,220,900)</f>
        <v/>
      </c>
      <c r="T1164">
        <f>IMAGE("https://mitra.stanford.edu/kundaje/oak/projects/neuro-variants/variant_position/credible/roussos_2024/variant_figures/roussos_2024.childhood.Astrocyte/rs3783301_profile_position.png",4,220,900)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0.0144941014799999</v>
      </c>
      <c r="G1165" t="n">
        <v>0.629155682673988</v>
      </c>
      <c r="H1165" t="n">
        <v>0.0236844747453349</v>
      </c>
      <c r="I1165" t="n">
        <v>0.07221233496169099</v>
      </c>
      <c r="J1165" t="n">
        <v>0.0716959385709814</v>
      </c>
      <c r="K1165" t="n">
        <v>0.3990522658411697</v>
      </c>
      <c r="L1165" t="b">
        <v>0</v>
      </c>
      <c r="M1165" t="b">
        <v>0</v>
      </c>
      <c r="N1165" t="inlineStr">
        <is>
          <t>alt</t>
        </is>
      </c>
      <c r="O1165" t="n">
        <v>100</v>
      </c>
      <c r="P1165" t="n">
        <v>0.01201</v>
      </c>
      <c r="Q1165" t="n">
        <v>-100</v>
      </c>
      <c r="R1165" t="n">
        <v>0.1487</v>
      </c>
      <c r="S1165">
        <f>IMAGE("https://mitra.stanford.edu/kundaje/oak/projects/neuro-variants/variant_position/credible/roussos_2024/variant_figures/roussos_2024.childhood.Astrocyte/rs10149921_count_position.png",4,220,900)</f>
        <v/>
      </c>
      <c r="T1165">
        <f>IMAGE("https://mitra.stanford.edu/kundaje/oak/projects/neuro-variants/variant_position/credible/roussos_2024/variant_figures/roussos_2024.childhood.Astrocyte/rs10149921_profile_position.png",4,220,900)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-0.01096704146</v>
      </c>
      <c r="G1166" t="n">
        <v>0.6971937881734638</v>
      </c>
      <c r="H1166" t="n">
        <v>0.0287422705944487</v>
      </c>
      <c r="I1166" t="n">
        <v>0.0350020010624484</v>
      </c>
      <c r="J1166" t="n">
        <v>0.0132399074900963</v>
      </c>
      <c r="K1166" t="n">
        <v>0.6519305530636021</v>
      </c>
      <c r="L1166" t="b">
        <v>0</v>
      </c>
      <c r="M1166" t="b">
        <v>0</v>
      </c>
      <c r="N1166" t="inlineStr">
        <is>
          <t>ref</t>
        </is>
      </c>
      <c r="O1166" t="n">
        <v>-35</v>
      </c>
      <c r="P1166" t="n">
        <v>0.004143</v>
      </c>
      <c r="Q1166" t="n">
        <v>-90</v>
      </c>
      <c r="R1166" t="n">
        <v>0.063</v>
      </c>
      <c r="S1166">
        <f>IMAGE("https://mitra.stanford.edu/kundaje/oak/projects/neuro-variants/variant_position/credible/roussos_2024/variant_figures/roussos_2024.childhood.Astrocyte/rs7158984_count_position.png",4,220,900)</f>
        <v/>
      </c>
      <c r="T1166">
        <f>IMAGE("https://mitra.stanford.edu/kundaje/oak/projects/neuro-variants/variant_position/credible/roussos_2024/variant_figures/roussos_2024.childhood.Astrocyte/rs7158984_profile_position.png",4,220,900)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-0.123552646</v>
      </c>
      <c r="G1167" t="n">
        <v>0.0484376702898494</v>
      </c>
      <c r="H1167" t="n">
        <v>0.0262175718734115</v>
      </c>
      <c r="I1167" t="n">
        <v>0.0501317201330401</v>
      </c>
      <c r="J1167" t="n">
        <v>0.0246051918511903</v>
      </c>
      <c r="K1167" t="n">
        <v>0.5614239169028252</v>
      </c>
      <c r="L1167" t="b">
        <v>0</v>
      </c>
      <c r="M1167" t="b">
        <v>0</v>
      </c>
      <c r="N1167" t="inlineStr">
        <is>
          <t>ref</t>
        </is>
      </c>
      <c r="O1167" t="n">
        <v>100</v>
      </c>
      <c r="P1167" t="n">
        <v>0.03525</v>
      </c>
      <c r="Q1167" t="n">
        <v>-40</v>
      </c>
      <c r="R1167" t="n">
        <v>0.1019</v>
      </c>
      <c r="S1167">
        <f>IMAGE("https://mitra.stanford.edu/kundaje/oak/projects/neuro-variants/variant_position/credible/roussos_2024/variant_figures/roussos_2024.childhood.Astrocyte/rs10150918_count_position.png",4,220,900)</f>
        <v/>
      </c>
      <c r="T1167">
        <f>IMAGE("https://mitra.stanford.edu/kundaje/oak/projects/neuro-variants/variant_position/credible/roussos_2024/variant_figures/roussos_2024.childhood.Astrocyte/rs10150918_profile_position.png",4,220,900)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0.09429877339999999</v>
      </c>
      <c r="G1168" t="n">
        <v>0.0870630568360156</v>
      </c>
      <c r="H1168" t="n">
        <v>0.0207025920868501</v>
      </c>
      <c r="I1168" t="n">
        <v>0.1140982572849467</v>
      </c>
      <c r="J1168" t="n">
        <v>0.2986398296352269</v>
      </c>
      <c r="K1168" t="n">
        <v>0.1334598534248048</v>
      </c>
      <c r="L1168" t="b">
        <v>0</v>
      </c>
      <c r="M1168" t="b">
        <v>0</v>
      </c>
      <c r="N1168" t="inlineStr">
        <is>
          <t>alt</t>
        </is>
      </c>
      <c r="O1168" t="n">
        <v>100</v>
      </c>
      <c r="P1168" t="n">
        <v>0.07477</v>
      </c>
      <c r="Q1168" t="n">
        <v>100</v>
      </c>
      <c r="R1168" t="n">
        <v>1.125</v>
      </c>
      <c r="S1168">
        <f>IMAGE("https://mitra.stanford.edu/kundaje/oak/projects/neuro-variants/variant_position/credible/roussos_2024/variant_figures/roussos_2024.childhood.Astrocyte/rs959388_count_position.png",4,220,900)</f>
        <v/>
      </c>
      <c r="T1168">
        <f>IMAGE("https://mitra.stanford.edu/kundaje/oak/projects/neuro-variants/variant_position/credible/roussos_2024/variant_figures/roussos_2024.childhood.Astrocyte/rs959388_profile_position.png",4,220,900)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-0.01063160832</v>
      </c>
      <c r="G1169" t="n">
        <v>0.7021485712534983</v>
      </c>
      <c r="H1169" t="n">
        <v>0.030032942106642</v>
      </c>
      <c r="I1169" t="n">
        <v>0.0298207129390822</v>
      </c>
      <c r="J1169" t="n">
        <v>0.019962904444597</v>
      </c>
      <c r="K1169" t="n">
        <v>0.5930048026250799</v>
      </c>
      <c r="L1169" t="b">
        <v>0</v>
      </c>
      <c r="M1169" t="b">
        <v>0</v>
      </c>
      <c r="N1169" t="inlineStr">
        <is>
          <t>ref</t>
        </is>
      </c>
      <c r="O1169" t="n">
        <v>25</v>
      </c>
      <c r="P1169" t="n">
        <v>0.004047</v>
      </c>
      <c r="Q1169" t="n">
        <v>100</v>
      </c>
      <c r="R1169" t="n">
        <v>0.02344</v>
      </c>
      <c r="S1169">
        <f>IMAGE("https://mitra.stanford.edu/kundaje/oak/projects/neuro-variants/variant_position/credible/roussos_2024/variant_figures/roussos_2024.childhood.Astrocyte/rs7140901_count_position.png",4,220,900)</f>
        <v/>
      </c>
      <c r="T1169">
        <f>IMAGE("https://mitra.stanford.edu/kundaje/oak/projects/neuro-variants/variant_position/credible/roussos_2024/variant_figures/roussos_2024.childhood.Astrocyte/rs7140901_profile_position.png",4,220,900)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0.0525260615999999</v>
      </c>
      <c r="G1170" t="n">
        <v>0.2112827695101614</v>
      </c>
      <c r="H1170" t="n">
        <v>0.0272464702498784</v>
      </c>
      <c r="I1170" t="n">
        <v>0.0427233201321541</v>
      </c>
      <c r="J1170" t="n">
        <v>0.0063314327585811</v>
      </c>
      <c r="K1170" t="n">
        <v>0.7535058679645585</v>
      </c>
      <c r="L1170" t="b">
        <v>0</v>
      </c>
      <c r="M1170" t="b">
        <v>0</v>
      </c>
      <c r="N1170" t="inlineStr">
        <is>
          <t>alt</t>
        </is>
      </c>
      <c r="O1170" t="n">
        <v>-85</v>
      </c>
      <c r="P1170" t="n">
        <v>0.01306</v>
      </c>
      <c r="Q1170" t="n">
        <v>-85</v>
      </c>
      <c r="R1170" t="n">
        <v>0.0614</v>
      </c>
      <c r="S1170">
        <f>IMAGE("https://mitra.stanford.edu/kundaje/oak/projects/neuro-variants/variant_position/credible/roussos_2024/variant_figures/roussos_2024.childhood.Astrocyte/rs17440692_count_position.png",4,220,900)</f>
        <v/>
      </c>
      <c r="T1170">
        <f>IMAGE("https://mitra.stanford.edu/kundaje/oak/projects/neuro-variants/variant_position/credible/roussos_2024/variant_figures/roussos_2024.childhood.Astrocyte/rs17440692_profile_position.png",4,220,900)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0.008184524320000001</v>
      </c>
      <c r="G1171" t="n">
        <v>0.7603553001324054</v>
      </c>
      <c r="H1171" t="n">
        <v>0.0265655200321417</v>
      </c>
      <c r="I1171" t="n">
        <v>0.0468576912248214</v>
      </c>
      <c r="J1171" t="n">
        <v>0.0029989390365841</v>
      </c>
      <c r="K1171" t="n">
        <v>0.8331897590414276</v>
      </c>
      <c r="L1171" t="b">
        <v>0</v>
      </c>
      <c r="M1171" t="b">
        <v>0</v>
      </c>
      <c r="N1171" t="inlineStr">
        <is>
          <t>alt</t>
        </is>
      </c>
      <c r="O1171" t="n">
        <v>80</v>
      </c>
      <c r="P1171" t="n">
        <v>0.00818</v>
      </c>
      <c r="Q1171" t="n">
        <v>100</v>
      </c>
      <c r="R1171" t="n">
        <v>0.2583</v>
      </c>
      <c r="S1171">
        <f>IMAGE("https://mitra.stanford.edu/kundaje/oak/projects/neuro-variants/variant_position/credible/roussos_2024/variant_figures/roussos_2024.childhood.Astrocyte/rs73266980_count_position.png",4,220,900)</f>
        <v/>
      </c>
      <c r="T1171">
        <f>IMAGE("https://mitra.stanford.edu/kundaje/oak/projects/neuro-variants/variant_position/credible/roussos_2024/variant_figures/roussos_2024.childhood.Astrocyte/rs73266980_profile_position.png",4,220,900)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-0.0189470182</v>
      </c>
      <c r="G1172" t="n">
        <v>0.5458208608454754</v>
      </c>
      <c r="H1172" t="n">
        <v>0.0342595764819241</v>
      </c>
      <c r="I1172" t="n">
        <v>0.0177576291726017</v>
      </c>
      <c r="J1172" t="n">
        <v>0.0084037461931258</v>
      </c>
      <c r="K1172" t="n">
        <v>0.7184833239545109</v>
      </c>
      <c r="L1172" t="b">
        <v>0</v>
      </c>
      <c r="M1172" t="b">
        <v>0</v>
      </c>
      <c r="N1172" t="inlineStr">
        <is>
          <t>ref</t>
        </is>
      </c>
      <c r="O1172" t="n">
        <v>-20</v>
      </c>
      <c r="P1172" t="n">
        <v>0.00708</v>
      </c>
      <c r="Q1172" t="n">
        <v>-50</v>
      </c>
      <c r="R1172" t="n">
        <v>0.03354</v>
      </c>
      <c r="S1172">
        <f>IMAGE("https://mitra.stanford.edu/kundaje/oak/projects/neuro-variants/variant_position/credible/roussos_2024/variant_figures/roussos_2024.childhood.Astrocyte/rs12882859_count_position.png",4,220,900)</f>
        <v/>
      </c>
      <c r="T1172">
        <f>IMAGE("https://mitra.stanford.edu/kundaje/oak/projects/neuro-variants/variant_position/credible/roussos_2024/variant_figures/roussos_2024.childhood.Astrocyte/rs12882859_profile_position.png",4,220,900)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0.152821692</v>
      </c>
      <c r="G1173" t="n">
        <v>0.0298168717114485</v>
      </c>
      <c r="H1173" t="n">
        <v>0.0214302463004553</v>
      </c>
      <c r="I1173" t="n">
        <v>0.1035100612495293</v>
      </c>
      <c r="J1173" t="n">
        <v>0.4006396311816385</v>
      </c>
      <c r="K1173" t="n">
        <v>0.0875305742678136</v>
      </c>
      <c r="L1173" t="b">
        <v>0</v>
      </c>
      <c r="M1173" t="b">
        <v>0</v>
      </c>
      <c r="N1173" t="inlineStr">
        <is>
          <t>alt</t>
        </is>
      </c>
      <c r="O1173" t="n">
        <v>95</v>
      </c>
      <c r="P1173" t="n">
        <v>0.01036</v>
      </c>
      <c r="Q1173" t="n">
        <v>95</v>
      </c>
      <c r="R1173" t="n">
        <v>0.2188</v>
      </c>
      <c r="S1173">
        <f>IMAGE("https://mitra.stanford.edu/kundaje/oak/projects/neuro-variants/variant_position/credible/roussos_2024/variant_figures/roussos_2024.childhood.Astrocyte/rs12894833_count_position.png",4,220,900)</f>
        <v/>
      </c>
      <c r="T1173">
        <f>IMAGE("https://mitra.stanford.edu/kundaje/oak/projects/neuro-variants/variant_position/credible/roussos_2024/variant_figures/roussos_2024.childhood.Astrocyte/rs12894833_profile_position.png",4,220,900)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-0.0036153195799999</v>
      </c>
      <c r="G1174" t="n">
        <v>0.7420938749391015</v>
      </c>
      <c r="H1174" t="n">
        <v>0.0152188961868252</v>
      </c>
      <c r="I1174" t="n">
        <v>0.287762518283818</v>
      </c>
      <c r="J1174" t="n">
        <v>0.2051712425484493</v>
      </c>
      <c r="K1174" t="n">
        <v>0.2007284893583235</v>
      </c>
      <c r="L1174" t="b">
        <v>0</v>
      </c>
      <c r="M1174" t="b">
        <v>0</v>
      </c>
      <c r="N1174" t="inlineStr">
        <is>
          <t>ref</t>
        </is>
      </c>
      <c r="O1174" t="n">
        <v>-100</v>
      </c>
      <c r="P1174" t="n">
        <v>0.04477</v>
      </c>
      <c r="Q1174" t="n">
        <v>-100</v>
      </c>
      <c r="R1174" t="n">
        <v>0.3826</v>
      </c>
      <c r="S1174">
        <f>IMAGE("https://mitra.stanford.edu/kundaje/oak/projects/neuro-variants/variant_position/credible/roussos_2024/variant_figures/roussos_2024.childhood.Astrocyte/rs12896446_count_position.png",4,220,900)</f>
        <v/>
      </c>
      <c r="T1174">
        <f>IMAGE("https://mitra.stanford.edu/kundaje/oak/projects/neuro-variants/variant_position/credible/roussos_2024/variant_figures/roussos_2024.childhood.Astrocyte/rs12896446_profile_position.png",4,220,900)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-0.0149452659999999</v>
      </c>
      <c r="G1175" t="n">
        <v>0.594171667049625</v>
      </c>
      <c r="H1175" t="n">
        <v>0.0250185355231447</v>
      </c>
      <c r="I1175" t="n">
        <v>0.0582696348477376</v>
      </c>
      <c r="J1175" t="n">
        <v>0.0059001778449466</v>
      </c>
      <c r="K1175" t="n">
        <v>0.7527048737612203</v>
      </c>
      <c r="L1175" t="b">
        <v>0</v>
      </c>
      <c r="M1175" t="b">
        <v>0</v>
      </c>
      <c r="N1175" t="inlineStr">
        <is>
          <t>ref</t>
        </is>
      </c>
      <c r="O1175" t="n">
        <v>100</v>
      </c>
      <c r="P1175" t="n">
        <v>0.002232</v>
      </c>
      <c r="Q1175" t="n">
        <v>-70</v>
      </c>
      <c r="R1175" t="n">
        <v>0.0483</v>
      </c>
      <c r="S1175">
        <f>IMAGE("https://mitra.stanford.edu/kundaje/oak/projects/neuro-variants/variant_position/credible/roussos_2024/variant_figures/roussos_2024.childhood.Astrocyte/rs7140259_count_position.png",4,220,900)</f>
        <v/>
      </c>
      <c r="T1175">
        <f>IMAGE("https://mitra.stanford.edu/kundaje/oak/projects/neuro-variants/variant_position/credible/roussos_2024/variant_figures/roussos_2024.childhood.Astrocyte/rs7140259_profile_position.png",4,220,900)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-0.0511190544</v>
      </c>
      <c r="G1176" t="n">
        <v>0.2116011998057372</v>
      </c>
      <c r="H1176" t="n">
        <v>0.0245454701412874</v>
      </c>
      <c r="I1176" t="n">
        <v>0.0629246436834546</v>
      </c>
      <c r="J1176" t="n">
        <v>0.007980887392854</v>
      </c>
      <c r="K1176" t="n">
        <v>0.715467572374201</v>
      </c>
      <c r="L1176" t="b">
        <v>0</v>
      </c>
      <c r="M1176" t="b">
        <v>0</v>
      </c>
      <c r="N1176" t="inlineStr">
        <is>
          <t>ref</t>
        </is>
      </c>
      <c r="O1176" t="n">
        <v>40</v>
      </c>
      <c r="P1176" t="n">
        <v>0.0497</v>
      </c>
      <c r="Q1176" t="n">
        <v>55</v>
      </c>
      <c r="R1176" t="n">
        <v>0.07099999999999999</v>
      </c>
      <c r="S1176">
        <f>IMAGE("https://mitra.stanford.edu/kundaje/oak/projects/neuro-variants/variant_position/credible/roussos_2024/variant_figures/roussos_2024.childhood.Astrocyte/rs7161135_count_position.png",4,220,900)</f>
        <v/>
      </c>
      <c r="T1176">
        <f>IMAGE("https://mitra.stanford.edu/kundaje/oak/projects/neuro-variants/variant_position/credible/roussos_2024/variant_figures/roussos_2024.childhood.Astrocyte/rs7161135_profile_position.png",4,220,900)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-0.009074865640000001</v>
      </c>
      <c r="G1177" t="n">
        <v>0.757044493517722</v>
      </c>
      <c r="H1177" t="n">
        <v>0.0105012361455423</v>
      </c>
      <c r="I1177" t="n">
        <v>0.6651321084460009</v>
      </c>
      <c r="J1177" t="n">
        <v>0.0005762786899009</v>
      </c>
      <c r="K1177" t="n">
        <v>0.9373945033940628</v>
      </c>
      <c r="L1177" t="b">
        <v>0</v>
      </c>
      <c r="M1177" t="b">
        <v>0</v>
      </c>
      <c r="N1177" t="inlineStr">
        <is>
          <t>ref</t>
        </is>
      </c>
      <c r="O1177" t="n">
        <v>95</v>
      </c>
      <c r="P1177" t="n">
        <v>0.009346</v>
      </c>
      <c r="Q1177" t="n">
        <v>-100</v>
      </c>
      <c r="R1177" t="n">
        <v>0.11536</v>
      </c>
      <c r="S1177">
        <f>IMAGE("https://mitra.stanford.edu/kundaje/oak/projects/neuro-variants/variant_position/credible/roussos_2024/variant_figures/roussos_2024.childhood.Astrocyte/rs12434588_count_position.png",4,220,900)</f>
        <v/>
      </c>
      <c r="T1177">
        <f>IMAGE("https://mitra.stanford.edu/kundaje/oak/projects/neuro-variants/variant_position/credible/roussos_2024/variant_figures/roussos_2024.childhood.Astrocyte/rs12434588_profile_position.png",4,220,900)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-0.158762256</v>
      </c>
      <c r="G1178" t="n">
        <v>0.0277113641493675</v>
      </c>
      <c r="H1178" t="n">
        <v>0.032146125946657</v>
      </c>
      <c r="I1178" t="n">
        <v>0.0269452580256795</v>
      </c>
      <c r="J1178" t="n">
        <v>0.08730431331241929</v>
      </c>
      <c r="K1178" t="n">
        <v>0.3552709451574889</v>
      </c>
      <c r="L1178" t="b">
        <v>0</v>
      </c>
      <c r="M1178" t="b">
        <v>0</v>
      </c>
      <c r="N1178" t="inlineStr">
        <is>
          <t>ref</t>
        </is>
      </c>
      <c r="O1178" t="n">
        <v>-65</v>
      </c>
      <c r="P1178" t="n">
        <v>0.00769</v>
      </c>
      <c r="Q1178" t="n">
        <v>-65</v>
      </c>
      <c r="R1178" t="n">
        <v>0.04785</v>
      </c>
      <c r="S1178">
        <f>IMAGE("https://mitra.stanford.edu/kundaje/oak/projects/neuro-variants/variant_position/credible/roussos_2024/variant_figures/roussos_2024.childhood.Astrocyte/rs12887688_count_position.png",4,220,900)</f>
        <v/>
      </c>
      <c r="T1178">
        <f>IMAGE("https://mitra.stanford.edu/kundaje/oak/projects/neuro-variants/variant_position/credible/roussos_2024/variant_figures/roussos_2024.childhood.Astrocyte/rs12887688_profile_position.png",4,220,900)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-0.1477519382</v>
      </c>
      <c r="G1179" t="n">
        <v>0.0394760371429964</v>
      </c>
      <c r="H1179" t="n">
        <v>0.0272375569252218</v>
      </c>
      <c r="I1179" t="n">
        <v>0.0446596960351513</v>
      </c>
      <c r="J1179" t="n">
        <v>0.0142550739239616</v>
      </c>
      <c r="K1179" t="n">
        <v>0.6379913276587634</v>
      </c>
      <c r="L1179" t="b">
        <v>0</v>
      </c>
      <c r="M1179" t="b">
        <v>0</v>
      </c>
      <c r="N1179" t="inlineStr">
        <is>
          <t>ref</t>
        </is>
      </c>
      <c r="O1179" t="n">
        <v>85</v>
      </c>
      <c r="P1179" t="n">
        <v>0.00476</v>
      </c>
      <c r="Q1179" t="n">
        <v>-75</v>
      </c>
      <c r="R1179" t="n">
        <v>0.1046</v>
      </c>
      <c r="S1179">
        <f>IMAGE("https://mitra.stanford.edu/kundaje/oak/projects/neuro-variants/variant_position/credible/roussos_2024/variant_figures/roussos_2024.childhood.Astrocyte/rs10133628_count_position.png",4,220,900)</f>
        <v/>
      </c>
      <c r="T1179">
        <f>IMAGE("https://mitra.stanford.edu/kundaje/oak/projects/neuro-variants/variant_position/credible/roussos_2024/variant_figures/roussos_2024.childhood.Astrocyte/rs10133628_profile_position.png",4,220,900)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-0.007640690308</v>
      </c>
      <c r="G1180" t="n">
        <v>0.8020945623126572</v>
      </c>
      <c r="H1180" t="n">
        <v>0.0220186092496688</v>
      </c>
      <c r="I1180" t="n">
        <v>0.09446639507729369</v>
      </c>
      <c r="J1180" t="n">
        <v>0.0043392640424995</v>
      </c>
      <c r="K1180" t="n">
        <v>0.7950616289690701</v>
      </c>
      <c r="L1180" t="b">
        <v>0</v>
      </c>
      <c r="M1180" t="b">
        <v>0</v>
      </c>
      <c r="N1180" t="inlineStr">
        <is>
          <t>ref</t>
        </is>
      </c>
      <c r="O1180" t="n">
        <v>-85</v>
      </c>
      <c r="P1180" t="n">
        <v>0.0829</v>
      </c>
      <c r="Q1180" t="n">
        <v>95</v>
      </c>
      <c r="R1180" t="n">
        <v>0.06122</v>
      </c>
      <c r="S1180">
        <f>IMAGE("https://mitra.stanford.edu/kundaje/oak/projects/neuro-variants/variant_position/credible/roussos_2024/variant_figures/roussos_2024.childhood.Astrocyte/rs72474105_count_position.png",4,220,900)</f>
        <v/>
      </c>
      <c r="T1180">
        <f>IMAGE("https://mitra.stanford.edu/kundaje/oak/projects/neuro-variants/variant_position/credible/roussos_2024/variant_figures/roussos_2024.childhood.Astrocyte/rs72474105_profile_position.png",4,220,900)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-0.1002022698</v>
      </c>
      <c r="G1181" t="n">
        <v>0.08776072346885171</v>
      </c>
      <c r="H1181" t="n">
        <v>0.0293304885379175</v>
      </c>
      <c r="I1181" t="n">
        <v>0.0327472243358493</v>
      </c>
      <c r="J1181" t="n">
        <v>0.343720852129178</v>
      </c>
      <c r="K1181" t="n">
        <v>0.1108785490929142</v>
      </c>
      <c r="L1181" t="b">
        <v>0</v>
      </c>
      <c r="M1181" t="b">
        <v>0</v>
      </c>
      <c r="N1181" t="inlineStr">
        <is>
          <t>ref</t>
        </is>
      </c>
      <c r="O1181" t="n">
        <v>-100</v>
      </c>
      <c r="P1181" t="n">
        <v>0.02515</v>
      </c>
      <c r="Q1181" t="n">
        <v>-100</v>
      </c>
      <c r="R1181" t="n">
        <v>0.2673</v>
      </c>
      <c r="S1181">
        <f>IMAGE("https://mitra.stanford.edu/kundaje/oak/projects/neuro-variants/variant_position/credible/roussos_2024/variant_figures/roussos_2024.childhood.Astrocyte/rs61985092_count_position.png",4,220,900)</f>
        <v/>
      </c>
      <c r="T1181">
        <f>IMAGE("https://mitra.stanford.edu/kundaje/oak/projects/neuro-variants/variant_position/credible/roussos_2024/variant_figures/roussos_2024.childhood.Astrocyte/rs61985092_profile_position.png",4,220,900)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0.0437116486</v>
      </c>
      <c r="G1182" t="n">
        <v>0.261415029774545</v>
      </c>
      <c r="H1182" t="n">
        <v>0.010035926219304</v>
      </c>
      <c r="I1182" t="n">
        <v>0.690549696202282</v>
      </c>
      <c r="J1182" t="n">
        <v>0.1275659667361253</v>
      </c>
      <c r="K1182" t="n">
        <v>0.2792619070082114</v>
      </c>
      <c r="L1182" t="b">
        <v>0</v>
      </c>
      <c r="M1182" t="b">
        <v>0</v>
      </c>
      <c r="N1182" t="inlineStr">
        <is>
          <t>alt</t>
        </is>
      </c>
      <c r="O1182" t="n">
        <v>-100</v>
      </c>
      <c r="P1182" t="n">
        <v>0.02383</v>
      </c>
      <c r="Q1182" t="n">
        <v>-75</v>
      </c>
      <c r="R1182" t="n">
        <v>0.1138</v>
      </c>
      <c r="S1182">
        <f>IMAGE("https://mitra.stanford.edu/kundaje/oak/projects/neuro-variants/variant_position/credible/roussos_2024/variant_figures/roussos_2024.childhood.Astrocyte/rs75682793_count_position.png",4,220,900)</f>
        <v/>
      </c>
      <c r="T1182">
        <f>IMAGE("https://mitra.stanford.edu/kundaje/oak/projects/neuro-variants/variant_position/credible/roussos_2024/variant_figures/roussos_2024.childhood.Astrocyte/rs75682793_profile_position.png",4,220,900)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0.0033940235999999</v>
      </c>
      <c r="G1183" t="n">
        <v>0.6104267552523591</v>
      </c>
      <c r="H1183" t="n">
        <v>0.0061570719384072</v>
      </c>
      <c r="I1183" t="n">
        <v>0.9863298245395981</v>
      </c>
      <c r="J1183" t="n">
        <v>0.009582255196049201</v>
      </c>
      <c r="K1183" t="n">
        <v>0.7079889228786809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0.04294</v>
      </c>
      <c r="Q1183" t="n">
        <v>40</v>
      </c>
      <c r="R1183" t="n">
        <v>0.05557</v>
      </c>
      <c r="S1183">
        <f>IMAGE("https://mitra.stanford.edu/kundaje/oak/projects/neuro-variants/variant_position/credible/roussos_2024/variant_figures/roussos_2024.childhood.Astrocyte/rs112261101_count_position.png",4,220,900)</f>
        <v/>
      </c>
      <c r="T1183">
        <f>IMAGE("https://mitra.stanford.edu/kundaje/oak/projects/neuro-variants/variant_position/credible/roussos_2024/variant_figures/roussos_2024.childhood.Astrocyte/rs112261101_profile_position.png",4,220,900)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-0.00334747176</v>
      </c>
      <c r="G1184" t="n">
        <v>0.7980750043486253</v>
      </c>
      <c r="H1184" t="n">
        <v>0.009434285838771801</v>
      </c>
      <c r="I1184" t="n">
        <v>0.7753166214416775</v>
      </c>
      <c r="J1184" t="n">
        <v>0.0013983345164219</v>
      </c>
      <c r="K1184" t="n">
        <v>0.8950660883346288</v>
      </c>
      <c r="L1184" t="b">
        <v>0</v>
      </c>
      <c r="M1184" t="b">
        <v>0</v>
      </c>
      <c r="N1184" t="inlineStr">
        <is>
          <t>ref</t>
        </is>
      </c>
      <c r="O1184" t="n">
        <v>-45</v>
      </c>
      <c r="P1184" t="n">
        <v>0.02469</v>
      </c>
      <c r="Q1184" t="n">
        <v>-100</v>
      </c>
      <c r="R1184" t="n">
        <v>0.2078</v>
      </c>
      <c r="S1184">
        <f>IMAGE("https://mitra.stanford.edu/kundaje/oak/projects/neuro-variants/variant_position/credible/roussos_2024/variant_figures/roussos_2024.childhood.Astrocyte/rs113869004_count_position.png",4,220,900)</f>
        <v/>
      </c>
      <c r="T1184">
        <f>IMAGE("https://mitra.stanford.edu/kundaje/oak/projects/neuro-variants/variant_position/credible/roussos_2024/variant_figures/roussos_2024.childhood.Astrocyte/rs113869004_profile_position.png",4,220,900)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-0.0141200064</v>
      </c>
      <c r="G1185" t="n">
        <v>0.2639440988920088</v>
      </c>
      <c r="H1185" t="n">
        <v>0.008930818290635099</v>
      </c>
      <c r="I1185" t="n">
        <v>0.7771804934724597</v>
      </c>
      <c r="J1185" t="n">
        <v>0.0821674185004541</v>
      </c>
      <c r="K1185" t="n">
        <v>0.3666534480670281</v>
      </c>
      <c r="L1185" t="b">
        <v>0</v>
      </c>
      <c r="M1185" t="b">
        <v>0</v>
      </c>
      <c r="N1185" t="inlineStr">
        <is>
          <t>ref</t>
        </is>
      </c>
      <c r="O1185" t="n">
        <v>-75</v>
      </c>
      <c r="P1185" t="n">
        <v>0.0119</v>
      </c>
      <c r="Q1185" t="n">
        <v>-70</v>
      </c>
      <c r="R1185" t="n">
        <v>0.0752</v>
      </c>
      <c r="S1185">
        <f>IMAGE("https://mitra.stanford.edu/kundaje/oak/projects/neuro-variants/variant_position/credible/roussos_2024/variant_figures/roussos_2024.childhood.Astrocyte/rs111476301_count_position.png",4,220,900)</f>
        <v/>
      </c>
      <c r="T1185">
        <f>IMAGE("https://mitra.stanford.edu/kundaje/oak/projects/neuro-variants/variant_position/credible/roussos_2024/variant_figures/roussos_2024.childhood.Astrocyte/rs111476301_profile_position.png",4,220,900)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-0.0481593306</v>
      </c>
      <c r="G1186" t="n">
        <v>0.227951657235892</v>
      </c>
      <c r="H1186" t="n">
        <v>0.0130475446384073</v>
      </c>
      <c r="I1186" t="n">
        <v>0.4262184592349276</v>
      </c>
      <c r="J1186" t="n">
        <v>0.0017547876928243</v>
      </c>
      <c r="K1186" t="n">
        <v>0.8674718693077549</v>
      </c>
      <c r="L1186" t="b">
        <v>0</v>
      </c>
      <c r="M1186" t="b">
        <v>0</v>
      </c>
      <c r="N1186" t="inlineStr">
        <is>
          <t>ref</t>
        </is>
      </c>
      <c r="O1186" t="n">
        <v>-75</v>
      </c>
      <c r="P1186" t="n">
        <v>0.01602</v>
      </c>
      <c r="Q1186" t="n">
        <v>60</v>
      </c>
      <c r="R1186" t="n">
        <v>0.082</v>
      </c>
      <c r="S1186">
        <f>IMAGE("https://mitra.stanford.edu/kundaje/oak/projects/neuro-variants/variant_position/credible/roussos_2024/variant_figures/roussos_2024.childhood.Astrocyte/rs1046701_count_position.png",4,220,900)</f>
        <v/>
      </c>
      <c r="T1186">
        <f>IMAGE("https://mitra.stanford.edu/kundaje/oak/projects/neuro-variants/variant_position/credible/roussos_2024/variant_figures/roussos_2024.childhood.Astrocyte/rs1046701_profile_position.png",4,220,900)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0.0198510475599999</v>
      </c>
      <c r="G1187" t="n">
        <v>0.4930250950534399</v>
      </c>
      <c r="H1187" t="n">
        <v>0.0106678140990444</v>
      </c>
      <c r="I1187" t="n">
        <v>0.6360353077664875</v>
      </c>
      <c r="J1187" t="n">
        <v>0.0147992947264774</v>
      </c>
      <c r="K1187" t="n">
        <v>0.6349807244732792</v>
      </c>
      <c r="L1187" t="b">
        <v>0</v>
      </c>
      <c r="M1187" t="b">
        <v>0</v>
      </c>
      <c r="N1187" t="inlineStr">
        <is>
          <t>alt</t>
        </is>
      </c>
      <c r="O1187" t="n">
        <v>10</v>
      </c>
      <c r="P1187" t="n">
        <v>0.001102</v>
      </c>
      <c r="Q1187" t="n">
        <v>20</v>
      </c>
      <c r="R1187" t="n">
        <v>0.07513</v>
      </c>
      <c r="S1187">
        <f>IMAGE("https://mitra.stanford.edu/kundaje/oak/projects/neuro-variants/variant_position/credible/roussos_2024/variant_figures/roussos_2024.childhood.Astrocyte/rs1253099_count_position.png",4,220,900)</f>
        <v/>
      </c>
      <c r="T1187">
        <f>IMAGE("https://mitra.stanford.edu/kundaje/oak/projects/neuro-variants/variant_position/credible/roussos_2024/variant_figures/roussos_2024.childhood.Astrocyte/rs1253099_profile_position.png",4,220,900)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0.00965953458</v>
      </c>
      <c r="G1188" t="n">
        <v>0.6946727740677977</v>
      </c>
      <c r="H1188" t="n">
        <v>0.0122241666672761</v>
      </c>
      <c r="I1188" t="n">
        <v>0.493798523128948</v>
      </c>
      <c r="J1188" t="n">
        <v>0.0147542610275315</v>
      </c>
      <c r="K1188" t="n">
        <v>0.6441890504573297</v>
      </c>
      <c r="L1188" t="b">
        <v>0</v>
      </c>
      <c r="M1188" t="b">
        <v>0</v>
      </c>
      <c r="N1188" t="inlineStr">
        <is>
          <t>alt</t>
        </is>
      </c>
      <c r="O1188" t="n">
        <v>100</v>
      </c>
      <c r="P1188" t="n">
        <v>0.000977</v>
      </c>
      <c r="Q1188" t="n">
        <v>-70</v>
      </c>
      <c r="R1188" t="n">
        <v>0.0674</v>
      </c>
      <c r="S1188">
        <f>IMAGE("https://mitra.stanford.edu/kundaje/oak/projects/neuro-variants/variant_position/credible/roussos_2024/variant_figures/roussos_2024.childhood.Astrocyte/rs1253102_count_position.png",4,220,900)</f>
        <v/>
      </c>
      <c r="T1188">
        <f>IMAGE("https://mitra.stanford.edu/kundaje/oak/projects/neuro-variants/variant_position/credible/roussos_2024/variant_figures/roussos_2024.childhood.Astrocyte/rs1253102_profile_position.png",4,220,900)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-0.036191267</v>
      </c>
      <c r="G1189" t="n">
        <v>0.3289906875235401</v>
      </c>
      <c r="H1189" t="n">
        <v>0.018823776067321</v>
      </c>
      <c r="I1189" t="n">
        <v>0.1529629439904856</v>
      </c>
      <c r="J1189" t="n">
        <v>0.0012930014578705</v>
      </c>
      <c r="K1189" t="n">
        <v>0.8936356487310083</v>
      </c>
      <c r="L1189" t="b">
        <v>0</v>
      </c>
      <c r="M1189" t="b">
        <v>0</v>
      </c>
      <c r="N1189" t="inlineStr">
        <is>
          <t>ref</t>
        </is>
      </c>
      <c r="O1189" t="n">
        <v>100</v>
      </c>
      <c r="P1189" t="n">
        <v>0.00873</v>
      </c>
      <c r="Q1189" t="n">
        <v>100</v>
      </c>
      <c r="R1189" t="n">
        <v>0.1056</v>
      </c>
      <c r="S1189">
        <f>IMAGE("https://mitra.stanford.edu/kundaje/oak/projects/neuro-variants/variant_position/credible/roussos_2024/variant_figures/roussos_2024.childhood.Astrocyte/rs111758996_count_position.png",4,220,900)</f>
        <v/>
      </c>
      <c r="T1189">
        <f>IMAGE("https://mitra.stanford.edu/kundaje/oak/projects/neuro-variants/variant_position/credible/roussos_2024/variant_figures/roussos_2024.childhood.Astrocyte/rs111758996_profile_position.png",4,220,900)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0.00538554452</v>
      </c>
      <c r="G1190" t="n">
        <v>0.7989834574576331</v>
      </c>
      <c r="H1190" t="n">
        <v>0.0340755997250839</v>
      </c>
      <c r="I1190" t="n">
        <v>0.0179998907743266</v>
      </c>
      <c r="J1190" t="n">
        <v>0.0029722241304297</v>
      </c>
      <c r="K1190" t="n">
        <v>0.8247845841175138</v>
      </c>
      <c r="L1190" t="b">
        <v>0</v>
      </c>
      <c r="M1190" t="b">
        <v>0</v>
      </c>
      <c r="N1190" t="inlineStr">
        <is>
          <t>alt</t>
        </is>
      </c>
      <c r="O1190" t="n">
        <v>-95</v>
      </c>
      <c r="P1190" t="n">
        <v>0.07086000000000001</v>
      </c>
      <c r="Q1190" t="n">
        <v>-95</v>
      </c>
      <c r="R1190" t="n">
        <v>0.0781</v>
      </c>
      <c r="S1190">
        <f>IMAGE("https://mitra.stanford.edu/kundaje/oak/projects/neuro-variants/variant_position/credible/roussos_2024/variant_figures/roussos_2024.childhood.Astrocyte/rs2526886_count_position.png",4,220,900)</f>
        <v/>
      </c>
      <c r="T1190">
        <f>IMAGE("https://mitra.stanford.edu/kundaje/oak/projects/neuro-variants/variant_position/credible/roussos_2024/variant_figures/roussos_2024.childhood.Astrocyte/rs2526886_profile_position.png",4,220,900)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-0.0178878</v>
      </c>
      <c r="G1191" t="n">
        <v>0.562027405762025</v>
      </c>
      <c r="H1191" t="n">
        <v>0.0243069172758878</v>
      </c>
      <c r="I1191" t="n">
        <v>0.0669351607856903</v>
      </c>
      <c r="J1191" t="n">
        <v>0.0046613694824177</v>
      </c>
      <c r="K1191" t="n">
        <v>0.7798046456933961</v>
      </c>
      <c r="L1191" t="b">
        <v>0</v>
      </c>
      <c r="M1191" t="b">
        <v>0</v>
      </c>
      <c r="N1191" t="inlineStr">
        <is>
          <t>ref</t>
        </is>
      </c>
      <c r="O1191" t="n">
        <v>95</v>
      </c>
      <c r="P1191" t="n">
        <v>0.005493</v>
      </c>
      <c r="Q1191" t="n">
        <v>-100</v>
      </c>
      <c r="R1191" t="n">
        <v>0.2367</v>
      </c>
      <c r="S1191">
        <f>IMAGE("https://mitra.stanford.edu/kundaje/oak/projects/neuro-variants/variant_position/credible/roussos_2024/variant_figures/roussos_2024.childhood.Astrocyte/rs2810073_count_position.png",4,220,900)</f>
        <v/>
      </c>
      <c r="T1191">
        <f>IMAGE("https://mitra.stanford.edu/kundaje/oak/projects/neuro-variants/variant_position/credible/roussos_2024/variant_figures/roussos_2024.childhood.Astrocyte/rs2810073_profile_position.png",4,220,900)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0.0124527236</v>
      </c>
      <c r="G1192" t="n">
        <v>0.6621348930218224</v>
      </c>
      <c r="H1192" t="n">
        <v>0.0306387401634405</v>
      </c>
      <c r="I1192" t="n">
        <v>0.0273297874345199</v>
      </c>
      <c r="J1192" t="n">
        <v>0.0008045003167624</v>
      </c>
      <c r="K1192" t="n">
        <v>0.9254120726549472</v>
      </c>
      <c r="L1192" t="b">
        <v>0</v>
      </c>
      <c r="M1192" t="b">
        <v>0</v>
      </c>
      <c r="N1192" t="inlineStr">
        <is>
          <t>alt</t>
        </is>
      </c>
      <c r="O1192" t="n">
        <v>75</v>
      </c>
      <c r="P1192" t="n">
        <v>0.00624</v>
      </c>
      <c r="Q1192" t="n">
        <v>-100</v>
      </c>
      <c r="R1192" t="n">
        <v>0.04764</v>
      </c>
      <c r="S1192">
        <f>IMAGE("https://mitra.stanford.edu/kundaje/oak/projects/neuro-variants/variant_position/credible/roussos_2024/variant_figures/roussos_2024.childhood.Astrocyte/rs2189806_count_position.png",4,220,900)</f>
        <v/>
      </c>
      <c r="T1192">
        <f>IMAGE("https://mitra.stanford.edu/kundaje/oak/projects/neuro-variants/variant_position/credible/roussos_2024/variant_figures/roussos_2024.childhood.Astrocyte/rs2189806_profile_position.png",4,220,900)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0.130492172</v>
      </c>
      <c r="G1193" t="n">
        <v>0.0408184579314431</v>
      </c>
      <c r="H1193" t="n">
        <v>0.0168212223979083</v>
      </c>
      <c r="I1193" t="n">
        <v>0.2196445392645904</v>
      </c>
      <c r="J1193" t="n">
        <v>0.0001373909459366</v>
      </c>
      <c r="K1193" t="n">
        <v>0.9860748497181884</v>
      </c>
      <c r="L1193" t="b">
        <v>0</v>
      </c>
      <c r="M1193" t="b">
        <v>0</v>
      </c>
      <c r="N1193" t="inlineStr">
        <is>
          <t>alt</t>
        </is>
      </c>
      <c r="O1193" t="n">
        <v>65</v>
      </c>
      <c r="P1193" t="n">
        <v>0.001823</v>
      </c>
      <c r="Q1193" t="n">
        <v>80</v>
      </c>
      <c r="R1193" t="n">
        <v>0.0781</v>
      </c>
      <c r="S1193">
        <f>IMAGE("https://mitra.stanford.edu/kundaje/oak/projects/neuro-variants/variant_position/credible/roussos_2024/variant_figures/roussos_2024.childhood.Astrocyte/rs2332477_count_position.png",4,220,900)</f>
        <v/>
      </c>
      <c r="T1193">
        <f>IMAGE("https://mitra.stanford.edu/kundaje/oak/projects/neuro-variants/variant_position/credible/roussos_2024/variant_figures/roussos_2024.childhood.Astrocyte/rs2332477_profile_position.png",4,220,900)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0.08334825459999989</v>
      </c>
      <c r="G1194" t="n">
        <v>0.1131230057394336</v>
      </c>
      <c r="H1194" t="n">
        <v>0.0142767728536377</v>
      </c>
      <c r="I1194" t="n">
        <v>0.3461743352169463</v>
      </c>
      <c r="J1194" t="n">
        <v>0.0022058879653163</v>
      </c>
      <c r="K1194" t="n">
        <v>0.8936754365347189</v>
      </c>
      <c r="L1194" t="b">
        <v>0</v>
      </c>
      <c r="M1194" t="b">
        <v>0</v>
      </c>
      <c r="N1194" t="inlineStr">
        <is>
          <t>alt</t>
        </is>
      </c>
      <c r="O1194" t="n">
        <v>-55</v>
      </c>
      <c r="P1194" t="n">
        <v>0.002165</v>
      </c>
      <c r="Q1194" t="n">
        <v>100</v>
      </c>
      <c r="R1194" t="n">
        <v>0.1659</v>
      </c>
      <c r="S1194">
        <f>IMAGE("https://mitra.stanford.edu/kundaje/oak/projects/neuro-variants/variant_position/credible/roussos_2024/variant_figures/roussos_2024.childhood.Astrocyte/rs2097866_count_position.png",4,220,900)</f>
        <v/>
      </c>
      <c r="T1194">
        <f>IMAGE("https://mitra.stanford.edu/kundaje/oak/projects/neuro-variants/variant_position/credible/roussos_2024/variant_figures/roussos_2024.childhood.Astrocyte/rs2097866_profile_position.png",4,220,900)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-0.158339538</v>
      </c>
      <c r="G1195" t="n">
        <v>0.031074602607589</v>
      </c>
      <c r="H1195" t="n">
        <v>0.0224365092910966</v>
      </c>
      <c r="I1195" t="n">
        <v>0.09352025086877359</v>
      </c>
      <c r="J1195" t="n">
        <v>0.0583094807385526</v>
      </c>
      <c r="K1195" t="n">
        <v>0.4243055744330887</v>
      </c>
      <c r="L1195" t="b">
        <v>0</v>
      </c>
      <c r="M1195" t="b">
        <v>0</v>
      </c>
      <c r="N1195" t="inlineStr">
        <is>
          <t>ref</t>
        </is>
      </c>
      <c r="O1195" t="n">
        <v>95</v>
      </c>
      <c r="P1195" t="n">
        <v>0.007587</v>
      </c>
      <c r="Q1195" t="n">
        <v>-55</v>
      </c>
      <c r="R1195" t="n">
        <v>0.09569999999999999</v>
      </c>
      <c r="S1195">
        <f>IMAGE("https://mitra.stanford.edu/kundaje/oak/projects/neuro-variants/variant_position/credible/roussos_2024/variant_figures/roussos_2024.childhood.Astrocyte/rs2526860_count_position.png",4,220,900)</f>
        <v/>
      </c>
      <c r="T1195">
        <f>IMAGE("https://mitra.stanford.edu/kundaje/oak/projects/neuro-variants/variant_position/credible/roussos_2024/variant_figures/roussos_2024.childhood.Astrocyte/rs2526860_profile_position.png",4,220,900)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0.0557717574</v>
      </c>
      <c r="G1196" t="n">
        <v>0.1875959143156627</v>
      </c>
      <c r="H1196" t="n">
        <v>0.0111970176653163</v>
      </c>
      <c r="I1196" t="n">
        <v>0.5961523758668056</v>
      </c>
      <c r="J1196" t="n">
        <v>0.2428339172448535</v>
      </c>
      <c r="K1196" t="n">
        <v>0.1670325876759535</v>
      </c>
      <c r="L1196" t="b">
        <v>0</v>
      </c>
      <c r="M1196" t="b">
        <v>0</v>
      </c>
      <c r="N1196" t="inlineStr">
        <is>
          <t>alt</t>
        </is>
      </c>
      <c r="O1196" t="n">
        <v>-20</v>
      </c>
      <c r="P1196" t="n">
        <v>0.03064</v>
      </c>
      <c r="Q1196" t="n">
        <v>-60</v>
      </c>
      <c r="R1196" t="n">
        <v>0.0708</v>
      </c>
      <c r="S1196">
        <f>IMAGE("https://mitra.stanford.edu/kundaje/oak/projects/neuro-variants/variant_position/credible/roussos_2024/variant_figures/roussos_2024.childhood.Astrocyte/rs7157250_count_position.png",4,220,900)</f>
        <v/>
      </c>
      <c r="T1196">
        <f>IMAGE("https://mitra.stanford.edu/kundaje/oak/projects/neuro-variants/variant_position/credible/roussos_2024/variant_figures/roussos_2024.childhood.Astrocyte/rs7157250_profile_position.png",4,220,900)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-0.01134567372</v>
      </c>
      <c r="G1197" t="n">
        <v>0.7088705499214469</v>
      </c>
      <c r="H1197" t="n">
        <v>0.0310970696668413</v>
      </c>
      <c r="I1197" t="n">
        <v>0.0265385435767499</v>
      </c>
      <c r="J1197" t="n">
        <v>0.004648393670857</v>
      </c>
      <c r="K1197" t="n">
        <v>0.7811612477647089</v>
      </c>
      <c r="L1197" t="b">
        <v>0</v>
      </c>
      <c r="M1197" t="b">
        <v>0</v>
      </c>
      <c r="N1197" t="inlineStr">
        <is>
          <t>ref</t>
        </is>
      </c>
      <c r="O1197" t="n">
        <v>-95</v>
      </c>
      <c r="P1197" t="n">
        <v>0.006943</v>
      </c>
      <c r="Q1197" t="n">
        <v>100</v>
      </c>
      <c r="R1197" t="n">
        <v>0.10406</v>
      </c>
      <c r="S1197">
        <f>IMAGE("https://mitra.stanford.edu/kundaje/oak/projects/neuro-variants/variant_position/credible/roussos_2024/variant_figures/roussos_2024.childhood.Astrocyte/rs67981189_count_position.png",4,220,900)</f>
        <v/>
      </c>
      <c r="T1197">
        <f>IMAGE("https://mitra.stanford.edu/kundaje/oak/projects/neuro-variants/variant_position/credible/roussos_2024/variant_figures/roussos_2024.childhood.Astrocyte/rs67981189_profile_position.png",4,220,900)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0.112596566</v>
      </c>
      <c r="G1198" t="n">
        <v>0.0647036910151524</v>
      </c>
      <c r="H1198" t="n">
        <v>0.0138063740763481</v>
      </c>
      <c r="I1198" t="n">
        <v>0.3663014372127516</v>
      </c>
      <c r="J1198" t="n">
        <v>0.0119629349759183</v>
      </c>
      <c r="K1198" t="n">
        <v>0.6819300419646298</v>
      </c>
      <c r="L1198" t="b">
        <v>0</v>
      </c>
      <c r="M1198" t="b">
        <v>0</v>
      </c>
      <c r="N1198" t="inlineStr">
        <is>
          <t>alt</t>
        </is>
      </c>
      <c r="O1198" t="n">
        <v>-70</v>
      </c>
      <c r="P1198" t="n">
        <v>0.0241</v>
      </c>
      <c r="Q1198" t="n">
        <v>-100</v>
      </c>
      <c r="R1198" t="n">
        <v>0.1625</v>
      </c>
      <c r="S1198">
        <f>IMAGE("https://mitra.stanford.edu/kundaje/oak/projects/neuro-variants/variant_position/credible/roussos_2024/variant_figures/roussos_2024.childhood.Astrocyte/rs7146932_count_position.png",4,220,900)</f>
        <v/>
      </c>
      <c r="T1198">
        <f>IMAGE("https://mitra.stanford.edu/kundaje/oak/projects/neuro-variants/variant_position/credible/roussos_2024/variant_figures/roussos_2024.childhood.Astrocyte/rs7146932_profile_position.png",4,220,900)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0.0070758986599999</v>
      </c>
      <c r="G1199" t="n">
        <v>0.787596310599069</v>
      </c>
      <c r="H1199" t="n">
        <v>0.0206607525499998</v>
      </c>
      <c r="I1199" t="n">
        <v>0.1128308653655675</v>
      </c>
      <c r="J1199" t="n">
        <v>0.001889888789662</v>
      </c>
      <c r="K1199" t="n">
        <v>0.8710698818401099</v>
      </c>
      <c r="L1199" t="b">
        <v>0</v>
      </c>
      <c r="M1199" t="b">
        <v>0</v>
      </c>
      <c r="N1199" t="inlineStr">
        <is>
          <t>alt</t>
        </is>
      </c>
      <c r="O1199" t="n">
        <v>95</v>
      </c>
      <c r="P1199" t="n">
        <v>0.00984</v>
      </c>
      <c r="Q1199" t="n">
        <v>50</v>
      </c>
      <c r="R1199" t="n">
        <v>0.0573</v>
      </c>
      <c r="S1199">
        <f>IMAGE("https://mitra.stanford.edu/kundaje/oak/projects/neuro-variants/variant_position/credible/roussos_2024/variant_figures/roussos_2024.childhood.Astrocyte/rs34488204_count_position.png",4,220,900)</f>
        <v/>
      </c>
      <c r="T1199">
        <f>IMAGE("https://mitra.stanford.edu/kundaje/oak/projects/neuro-variants/variant_position/credible/roussos_2024/variant_figures/roussos_2024.childhood.Astrocyte/rs34488204_profile_position.png",4,220,900)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-0.0191376761</v>
      </c>
      <c r="G1200" t="n">
        <v>0.5460383243812444</v>
      </c>
      <c r="H1200" t="n">
        <v>0.0270846882476305</v>
      </c>
      <c r="I1200" t="n">
        <v>0.0437975551101723</v>
      </c>
      <c r="J1200" t="n">
        <v>0.0048979872226419</v>
      </c>
      <c r="K1200" t="n">
        <v>0.7789951682224155</v>
      </c>
      <c r="L1200" t="b">
        <v>0</v>
      </c>
      <c r="M1200" t="b">
        <v>0</v>
      </c>
      <c r="N1200" t="inlineStr">
        <is>
          <t>ref</t>
        </is>
      </c>
      <c r="O1200" t="n">
        <v>100</v>
      </c>
      <c r="P1200" t="n">
        <v>0.03035</v>
      </c>
      <c r="Q1200" t="n">
        <v>85</v>
      </c>
      <c r="R1200" t="n">
        <v>0.009339999999999999</v>
      </c>
      <c r="S1200">
        <f>IMAGE("https://mitra.stanford.edu/kundaje/oak/projects/neuro-variants/variant_position/credible/roussos_2024/variant_figures/roussos_2024.childhood.Astrocyte/rs3814869_count_position.png",4,220,900)</f>
        <v/>
      </c>
      <c r="T1200">
        <f>IMAGE("https://mitra.stanford.edu/kundaje/oak/projects/neuro-variants/variant_position/credible/roussos_2024/variant_figures/roussos_2024.childhood.Astrocyte/rs3814869_profile_position.png",4,220,900)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-0.01458833508</v>
      </c>
      <c r="G1201" t="n">
        <v>0.5776032159286655</v>
      </c>
      <c r="H1201" t="n">
        <v>0.0111283425925683</v>
      </c>
      <c r="I1201" t="n">
        <v>0.5951205326818902</v>
      </c>
      <c r="J1201" t="n">
        <v>0.0060612305649057</v>
      </c>
      <c r="K1201" t="n">
        <v>0.7738765723637872</v>
      </c>
      <c r="L1201" t="b">
        <v>0</v>
      </c>
      <c r="M1201" t="b">
        <v>0</v>
      </c>
      <c r="N1201" t="inlineStr">
        <is>
          <t>ref</t>
        </is>
      </c>
      <c r="O1201" t="n">
        <v>45</v>
      </c>
      <c r="P1201" t="n">
        <v>0.003624</v>
      </c>
      <c r="Q1201" t="n">
        <v>45</v>
      </c>
      <c r="R1201" t="n">
        <v>0.04187</v>
      </c>
      <c r="S1201">
        <f>IMAGE("https://mitra.stanford.edu/kundaje/oak/projects/neuro-variants/variant_position/credible/roussos_2024/variant_figures/roussos_2024.childhood.Astrocyte/rs4048474_count_position.png",4,220,900)</f>
        <v/>
      </c>
      <c r="T1201">
        <f>IMAGE("https://mitra.stanford.edu/kundaje/oak/projects/neuro-variants/variant_position/credible/roussos_2024/variant_figures/roussos_2024.childhood.Astrocyte/rs4048474_profile_position.png",4,220,900)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-0.016116469</v>
      </c>
      <c r="G1202" t="n">
        <v>0.6044209747741367</v>
      </c>
      <c r="H1202" t="n">
        <v>0.025391633380743</v>
      </c>
      <c r="I1202" t="n">
        <v>0.0562545700979572</v>
      </c>
      <c r="J1202" t="n">
        <v>0.1108325128040728</v>
      </c>
      <c r="K1202" t="n">
        <v>0.3058360901729652</v>
      </c>
      <c r="L1202" t="b">
        <v>0</v>
      </c>
      <c r="M1202" t="b">
        <v>0</v>
      </c>
      <c r="N1202" t="inlineStr">
        <is>
          <t>ref</t>
        </is>
      </c>
      <c r="O1202" t="n">
        <v>-85</v>
      </c>
      <c r="P1202" t="n">
        <v>0.002586</v>
      </c>
      <c r="Q1202" t="n">
        <v>-50</v>
      </c>
      <c r="R1202" t="n">
        <v>0.0387</v>
      </c>
      <c r="S1202">
        <f>IMAGE("https://mitra.stanford.edu/kundaje/oak/projects/neuro-variants/variant_position/credible/roussos_2024/variant_figures/roussos_2024.childhood.Astrocyte/rs221923_count_position.png",4,220,900)</f>
        <v/>
      </c>
      <c r="T1202">
        <f>IMAGE("https://mitra.stanford.edu/kundaje/oak/projects/neuro-variants/variant_position/credible/roussos_2024/variant_figures/roussos_2024.childhood.Astrocyte/rs221923_profile_position.png",4,220,900)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0.008878512999999999</v>
      </c>
      <c r="G1203" t="n">
        <v>0.7025209724238028</v>
      </c>
      <c r="H1203" t="n">
        <v>0.0069878986174588</v>
      </c>
      <c r="I1203" t="n">
        <v>0.9628034530730984</v>
      </c>
      <c r="J1203" t="n">
        <v>0.00197384992329</v>
      </c>
      <c r="K1203" t="n">
        <v>0.8593756288338077</v>
      </c>
      <c r="L1203" t="b">
        <v>0</v>
      </c>
      <c r="M1203" t="b">
        <v>0</v>
      </c>
      <c r="N1203" t="inlineStr">
        <is>
          <t>alt</t>
        </is>
      </c>
      <c r="O1203" t="n">
        <v>-80</v>
      </c>
      <c r="P1203" t="n">
        <v>0.0227</v>
      </c>
      <c r="Q1203" t="n">
        <v>-100</v>
      </c>
      <c r="R1203" t="n">
        <v>0.142</v>
      </c>
      <c r="S1203">
        <f>IMAGE("https://mitra.stanford.edu/kundaje/oak/projects/neuro-variants/variant_position/credible/roussos_2024/variant_figures/roussos_2024.childhood.Astrocyte/rs75982415_count_position.png",4,220,900)</f>
        <v/>
      </c>
      <c r="T1203">
        <f>IMAGE("https://mitra.stanford.edu/kundaje/oak/projects/neuro-variants/variant_position/credible/roussos_2024/variant_figures/roussos_2024.childhood.Astrocyte/rs75982415_profile_position.png",4,220,900)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-0.0543345495999999</v>
      </c>
      <c r="G1204" t="n">
        <v>0.2028131599088516</v>
      </c>
      <c r="H1204" t="n">
        <v>0.0123388604141507</v>
      </c>
      <c r="I1204" t="n">
        <v>0.4669378091256676</v>
      </c>
      <c r="J1204" t="n">
        <v>0.0701197591078747</v>
      </c>
      <c r="K1204" t="n">
        <v>0.4054541219998894</v>
      </c>
      <c r="L1204" t="b">
        <v>0</v>
      </c>
      <c r="M1204" t="b">
        <v>0</v>
      </c>
      <c r="N1204" t="inlineStr">
        <is>
          <t>ref</t>
        </is>
      </c>
      <c r="O1204" t="n">
        <v>80</v>
      </c>
      <c r="P1204" t="n">
        <v>0.003632</v>
      </c>
      <c r="Q1204" t="n">
        <v>100</v>
      </c>
      <c r="R1204" t="n">
        <v>0.2273</v>
      </c>
      <c r="S1204">
        <f>IMAGE("https://mitra.stanford.edu/kundaje/oak/projects/neuro-variants/variant_position/credible/roussos_2024/variant_figures/roussos_2024.childhood.Astrocyte/rs142859468_count_position.png",4,220,900)</f>
        <v/>
      </c>
      <c r="T1204">
        <f>IMAGE("https://mitra.stanford.edu/kundaje/oak/projects/neuro-variants/variant_position/credible/roussos_2024/variant_figures/roussos_2024.childhood.Astrocyte/rs142859468_profile_position.png",4,220,900)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-0.07288939899999999</v>
      </c>
      <c r="G1205" t="n">
        <v>0.1396628070107685</v>
      </c>
      <c r="H1205" t="n">
        <v>0.0128425580958014</v>
      </c>
      <c r="I1205" t="n">
        <v>0.4475796420479962</v>
      </c>
      <c r="J1205" t="n">
        <v>0.0195736300977765</v>
      </c>
      <c r="K1205" t="n">
        <v>0.5956935123812188</v>
      </c>
      <c r="L1205" t="b">
        <v>0</v>
      </c>
      <c r="M1205" t="b">
        <v>0</v>
      </c>
      <c r="N1205" t="inlineStr">
        <is>
          <t>ref</t>
        </is>
      </c>
      <c r="O1205" t="n">
        <v>75</v>
      </c>
      <c r="P1205" t="n">
        <v>0.002426</v>
      </c>
      <c r="Q1205" t="n">
        <v>80</v>
      </c>
      <c r="R1205" t="n">
        <v>0.1449</v>
      </c>
      <c r="S1205">
        <f>IMAGE("https://mitra.stanford.edu/kundaje/oak/projects/neuro-variants/variant_position/credible/roussos_2024/variant_figures/roussos_2024.childhood.Astrocyte/rs57923981_count_position.png",4,220,900)</f>
        <v/>
      </c>
      <c r="T1205">
        <f>IMAGE("https://mitra.stanford.edu/kundaje/oak/projects/neuro-variants/variant_position/credible/roussos_2024/variant_figures/roussos_2024.childhood.Astrocyte/rs57923981_profile_position.png",4,220,900)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-0.051163895</v>
      </c>
      <c r="G1206" t="n">
        <v>0.2369003983892942</v>
      </c>
      <c r="H1206" t="n">
        <v>0.016691527146626</v>
      </c>
      <c r="I1206" t="n">
        <v>0.2411554582678609</v>
      </c>
      <c r="J1206" t="n">
        <v>0.0022974819292741</v>
      </c>
      <c r="K1206" t="n">
        <v>0.8521430763822819</v>
      </c>
      <c r="L1206" t="b">
        <v>0</v>
      </c>
      <c r="M1206" t="b">
        <v>0</v>
      </c>
      <c r="N1206" t="inlineStr">
        <is>
          <t>ref</t>
        </is>
      </c>
      <c r="O1206" t="n">
        <v>10</v>
      </c>
      <c r="P1206" t="n">
        <v>0.000849</v>
      </c>
      <c r="Q1206" t="n">
        <v>-100</v>
      </c>
      <c r="R1206" t="n">
        <v>0.10425</v>
      </c>
      <c r="S1206">
        <f>IMAGE("https://mitra.stanford.edu/kundaje/oak/projects/neuro-variants/variant_position/credible/roussos_2024/variant_figures/roussos_2024.childhood.Astrocyte/rs723966_count_position.png",4,220,900)</f>
        <v/>
      </c>
      <c r="T1206">
        <f>IMAGE("https://mitra.stanford.edu/kundaje/oak/projects/neuro-variants/variant_position/credible/roussos_2024/variant_figures/roussos_2024.childhood.Astrocyte/rs723966_profile_position.png",4,220,900)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0.08096484583999999</v>
      </c>
      <c r="G1207" t="n">
        <v>0.1243258681131793</v>
      </c>
      <c r="H1207" t="n">
        <v>0.0167069260582982</v>
      </c>
      <c r="I1207" t="n">
        <v>0.2431631859959784</v>
      </c>
      <c r="J1207" t="n">
        <v>0.4593895262302213</v>
      </c>
      <c r="K1207" t="n">
        <v>0.0677703352472301</v>
      </c>
      <c r="L1207" t="b">
        <v>0</v>
      </c>
      <c r="M1207" t="b">
        <v>0</v>
      </c>
      <c r="N1207" t="inlineStr">
        <is>
          <t>alt</t>
        </is>
      </c>
      <c r="O1207" t="n">
        <v>100</v>
      </c>
      <c r="P1207" t="n">
        <v>0.01572</v>
      </c>
      <c r="Q1207" t="n">
        <v>10</v>
      </c>
      <c r="R1207" t="n">
        <v>0.0454</v>
      </c>
      <c r="S1207">
        <f>IMAGE("https://mitra.stanford.edu/kundaje/oak/projects/neuro-variants/variant_position/credible/roussos_2024/variant_figures/roussos_2024.childhood.Astrocyte/rs61991204_count_position.png",4,220,900)</f>
        <v/>
      </c>
      <c r="T1207">
        <f>IMAGE("https://mitra.stanford.edu/kundaje/oak/projects/neuro-variants/variant_position/credible/roussos_2024/variant_figures/roussos_2024.childhood.Astrocyte/rs61991204_profile_position.png",4,220,900)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-0.0284323678</v>
      </c>
      <c r="G1208" t="n">
        <v>0.4219605269180954</v>
      </c>
      <c r="H1208" t="n">
        <v>0.0135092013407094</v>
      </c>
      <c r="I1208" t="n">
        <v>0.3922044065611894</v>
      </c>
      <c r="J1208" t="n">
        <v>0.0228816987627181</v>
      </c>
      <c r="K1208" t="n">
        <v>0.5733719461880299</v>
      </c>
      <c r="L1208" t="b">
        <v>0</v>
      </c>
      <c r="M1208" t="b">
        <v>0</v>
      </c>
      <c r="N1208" t="inlineStr">
        <is>
          <t>ref</t>
        </is>
      </c>
      <c r="O1208" t="n">
        <v>-90</v>
      </c>
      <c r="P1208" t="n">
        <v>0.002296</v>
      </c>
      <c r="Q1208" t="n">
        <v>-20</v>
      </c>
      <c r="R1208" t="n">
        <v>0.0468</v>
      </c>
      <c r="S1208">
        <f>IMAGE("https://mitra.stanford.edu/kundaje/oak/projects/neuro-variants/variant_position/credible/roussos_2024/variant_figures/roussos_2024.childhood.Astrocyte/rs78053899_count_position.png",4,220,900)</f>
        <v/>
      </c>
      <c r="T1208">
        <f>IMAGE("https://mitra.stanford.edu/kundaje/oak/projects/neuro-variants/variant_position/credible/roussos_2024/variant_figures/roussos_2024.childhood.Astrocyte/rs78053899_profile_position.png",4,220,900)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-0.0290391999799999</v>
      </c>
      <c r="G1209" t="n">
        <v>0.3957113904464662</v>
      </c>
      <c r="H1209" t="n">
        <v>0.0151893114770881</v>
      </c>
      <c r="I1209" t="n">
        <v>0.2870245195877636</v>
      </c>
      <c r="J1209" t="n">
        <v>0.0082755146435849</v>
      </c>
      <c r="K1209" t="n">
        <v>0.7146483932396661</v>
      </c>
      <c r="L1209" t="b">
        <v>0</v>
      </c>
      <c r="M1209" t="b">
        <v>0</v>
      </c>
      <c r="N1209" t="inlineStr">
        <is>
          <t>ref</t>
        </is>
      </c>
      <c r="O1209" t="n">
        <v>-85</v>
      </c>
      <c r="P1209" t="n">
        <v>0.02786</v>
      </c>
      <c r="Q1209" t="n">
        <v>70</v>
      </c>
      <c r="R1209" t="n">
        <v>0.0977</v>
      </c>
      <c r="S1209">
        <f>IMAGE("https://mitra.stanford.edu/kundaje/oak/projects/neuro-variants/variant_position/credible/roussos_2024/variant_figures/roussos_2024.childhood.Astrocyte/rs1990241_count_position.png",4,220,900)</f>
        <v/>
      </c>
      <c r="T1209">
        <f>IMAGE("https://mitra.stanford.edu/kundaje/oak/projects/neuro-variants/variant_position/credible/roussos_2024/variant_figures/roussos_2024.childhood.Astrocyte/rs1990241_profile_position.png",4,220,900)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-0.08982126560000001</v>
      </c>
      <c r="G1210" t="n">
        <v>0.0910163156905473</v>
      </c>
      <c r="H1210" t="n">
        <v>0.0123771984829322</v>
      </c>
      <c r="I1210" t="n">
        <v>0.4774824958208706</v>
      </c>
      <c r="J1210" t="n">
        <v>0.0070504453756496</v>
      </c>
      <c r="K1210" t="n">
        <v>0.7328647864516595</v>
      </c>
      <c r="L1210" t="b">
        <v>0</v>
      </c>
      <c r="M1210" t="b">
        <v>0</v>
      </c>
      <c r="N1210" t="inlineStr">
        <is>
          <t>ref</t>
        </is>
      </c>
      <c r="O1210" t="n">
        <v>-30</v>
      </c>
      <c r="P1210" t="n">
        <v>0.005295</v>
      </c>
      <c r="Q1210" t="n">
        <v>40</v>
      </c>
      <c r="R1210" t="n">
        <v>0.02979</v>
      </c>
      <c r="S1210">
        <f>IMAGE("https://mitra.stanford.edu/kundaje/oak/projects/neuro-variants/variant_position/credible/roussos_2024/variant_figures/roussos_2024.childhood.Astrocyte/rs34873919_count_position.png",4,220,900)</f>
        <v/>
      </c>
      <c r="T1210">
        <f>IMAGE("https://mitra.stanford.edu/kundaje/oak/projects/neuro-variants/variant_position/credible/roussos_2024/variant_figures/roussos_2024.childhood.Astrocyte/rs34873919_profile_position.png",4,220,900)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0.0214265992</v>
      </c>
      <c r="G1211" t="n">
        <v>0.4901354576457536</v>
      </c>
      <c r="H1211" t="n">
        <v>0.0276788975735481</v>
      </c>
      <c r="I1211" t="n">
        <v>0.0401034847844133</v>
      </c>
      <c r="J1211" t="n">
        <v>0.0234137070367062</v>
      </c>
      <c r="K1211" t="n">
        <v>0.5784821691433771</v>
      </c>
      <c r="L1211" t="b">
        <v>0</v>
      </c>
      <c r="M1211" t="b">
        <v>0</v>
      </c>
      <c r="N1211" t="inlineStr">
        <is>
          <t>alt</t>
        </is>
      </c>
      <c r="O1211" t="n">
        <v>50</v>
      </c>
      <c r="P1211" t="n">
        <v>0.02328</v>
      </c>
      <c r="Q1211" t="n">
        <v>100</v>
      </c>
      <c r="R1211" t="n">
        <v>0.3176</v>
      </c>
      <c r="S1211">
        <f>IMAGE("https://mitra.stanford.edu/kundaje/oak/projects/neuro-variants/variant_position/credible/roussos_2024/variant_figures/roussos_2024.childhood.Astrocyte/rs80173099_count_position.png",4,220,900)</f>
        <v/>
      </c>
      <c r="T1211">
        <f>IMAGE("https://mitra.stanford.edu/kundaje/oak/projects/neuro-variants/variant_position/credible/roussos_2024/variant_figures/roussos_2024.childhood.Astrocyte/rs80173099_profile_position.png",4,220,900)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-0.0116547237</v>
      </c>
      <c r="G1212" t="n">
        <v>0.6904138325569936</v>
      </c>
      <c r="H1212" t="n">
        <v>0.0358067260481291</v>
      </c>
      <c r="I1212" t="n">
        <v>0.014890015055612</v>
      </c>
      <c r="J1212" t="n">
        <v>0.0015799958782715</v>
      </c>
      <c r="K1212" t="n">
        <v>0.876895127590078</v>
      </c>
      <c r="L1212" t="b">
        <v>0</v>
      </c>
      <c r="M1212" t="b">
        <v>0</v>
      </c>
      <c r="N1212" t="inlineStr">
        <is>
          <t>ref</t>
        </is>
      </c>
      <c r="O1212" t="n">
        <v>100</v>
      </c>
      <c r="P1212" t="n">
        <v>0.01492</v>
      </c>
      <c r="Q1212" t="n">
        <v>30</v>
      </c>
      <c r="R1212" t="n">
        <v>0.0304</v>
      </c>
      <c r="S1212">
        <f>IMAGE("https://mitra.stanford.edu/kundaje/oak/projects/neuro-variants/variant_position/credible/roussos_2024/variant_figures/roussos_2024.childhood.Astrocyte/rs35054229_count_position.png",4,220,900)</f>
        <v/>
      </c>
      <c r="T1212">
        <f>IMAGE("https://mitra.stanford.edu/kundaje/oak/projects/neuro-variants/variant_position/credible/roussos_2024/variant_figures/roussos_2024.childhood.Astrocyte/rs35054229_profile_position.png",4,220,900)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-0.00177696392</v>
      </c>
      <c r="G1213" t="n">
        <v>0.8300977063630961</v>
      </c>
      <c r="H1213" t="n">
        <v>0.0281387874760592</v>
      </c>
      <c r="I1213" t="n">
        <v>0.0379562433745387</v>
      </c>
      <c r="J1213" t="n">
        <v>0.0040774579621869</v>
      </c>
      <c r="K1213" t="n">
        <v>0.8019830705436566</v>
      </c>
      <c r="L1213" t="b">
        <v>0</v>
      </c>
      <c r="M1213" t="b">
        <v>0</v>
      </c>
      <c r="N1213" t="inlineStr">
        <is>
          <t>ref</t>
        </is>
      </c>
      <c r="O1213" t="n">
        <v>-5</v>
      </c>
      <c r="P1213" t="n">
        <v>0.0002441</v>
      </c>
      <c r="Q1213" t="n">
        <v>-10</v>
      </c>
      <c r="R1213" t="n">
        <v>0.003113</v>
      </c>
      <c r="S1213">
        <f>IMAGE("https://mitra.stanford.edu/kundaje/oak/projects/neuro-variants/variant_position/credible/roussos_2024/variant_figures/roussos_2024.childhood.Astrocyte/rs116311114_count_position.png",4,220,900)</f>
        <v/>
      </c>
      <c r="T1213">
        <f>IMAGE("https://mitra.stanford.edu/kundaje/oak/projects/neuro-variants/variant_position/credible/roussos_2024/variant_figures/roussos_2024.childhood.Astrocyte/rs116311114_profile_position.png",4,220,900)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0.00887888278</v>
      </c>
      <c r="G1214" t="n">
        <v>0.6870268568520937</v>
      </c>
      <c r="H1214" t="n">
        <v>0.0397134864877967</v>
      </c>
      <c r="I1214" t="n">
        <v>0.0098464953088602</v>
      </c>
      <c r="J1214" t="n">
        <v>0.1651782647523528</v>
      </c>
      <c r="K1214" t="n">
        <v>0.2356746884969265</v>
      </c>
      <c r="L1214" t="b">
        <v>1</v>
      </c>
      <c r="M1214" t="b">
        <v>1</v>
      </c>
      <c r="N1214" t="inlineStr">
        <is>
          <t>alt</t>
        </is>
      </c>
      <c r="O1214" t="n">
        <v>-55</v>
      </c>
      <c r="P1214" t="n">
        <v>0.00665</v>
      </c>
      <c r="Q1214" t="n">
        <v>-100</v>
      </c>
      <c r="R1214" t="n">
        <v>0.1169</v>
      </c>
      <c r="S1214">
        <f>IMAGE("https://mitra.stanford.edu/kundaje/oak/projects/neuro-variants/variant_position/credible/roussos_2024/variant_figures/roussos_2024.childhood.Astrocyte/rs113102830_count_position.png",4,220,900)</f>
        <v/>
      </c>
      <c r="T1214">
        <f>IMAGE("https://mitra.stanford.edu/kundaje/oak/projects/neuro-variants/variant_position/credible/roussos_2024/variant_figures/roussos_2024.childhood.Astrocyte/rs113102830_profile_position.png",4,220,900)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0.0320706774</v>
      </c>
      <c r="G1215" t="n">
        <v>0.3503327213897116</v>
      </c>
      <c r="H1215" t="n">
        <v>0.013222028149461</v>
      </c>
      <c r="I1215" t="n">
        <v>0.4110023964986722</v>
      </c>
      <c r="J1215" t="n">
        <v>0.1155236503247768</v>
      </c>
      <c r="K1215" t="n">
        <v>0.3134632461299904</v>
      </c>
      <c r="L1215" t="b">
        <v>0</v>
      </c>
      <c r="M1215" t="b">
        <v>0</v>
      </c>
      <c r="N1215" t="inlineStr">
        <is>
          <t>alt</t>
        </is>
      </c>
      <c r="O1215" t="n">
        <v>30</v>
      </c>
      <c r="P1215" t="n">
        <v>0.0009584</v>
      </c>
      <c r="Q1215" t="n">
        <v>-90</v>
      </c>
      <c r="R1215" t="n">
        <v>0.1647</v>
      </c>
      <c r="S1215">
        <f>IMAGE("https://mitra.stanford.edu/kundaje/oak/projects/neuro-variants/variant_position/credible/roussos_2024/variant_figures/roussos_2024.childhood.Astrocyte/rs111590846_count_position.png",4,220,900)</f>
        <v/>
      </c>
      <c r="T1215">
        <f>IMAGE("https://mitra.stanford.edu/kundaje/oak/projects/neuro-variants/variant_position/credible/roussos_2024/variant_figures/roussos_2024.childhood.Astrocyte/rs111590846_profile_position.png",4,220,900)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0.00792735564</v>
      </c>
      <c r="G1216" t="n">
        <v>0.760943623340928</v>
      </c>
      <c r="H1216" t="n">
        <v>0.0120472270257805</v>
      </c>
      <c r="I1216" t="n">
        <v>0.507767808033374</v>
      </c>
      <c r="J1216" t="n">
        <v>0.005884912184287</v>
      </c>
      <c r="K1216" t="n">
        <v>0.7587131484878114</v>
      </c>
      <c r="L1216" t="b">
        <v>0</v>
      </c>
      <c r="M1216" t="b">
        <v>0</v>
      </c>
      <c r="N1216" t="inlineStr">
        <is>
          <t>alt</t>
        </is>
      </c>
      <c r="O1216" t="n">
        <v>100</v>
      </c>
      <c r="P1216" t="n">
        <v>0.002972</v>
      </c>
      <c r="Q1216" t="n">
        <v>-15</v>
      </c>
      <c r="R1216" t="n">
        <v>0.03452</v>
      </c>
      <c r="S1216">
        <f>IMAGE("https://mitra.stanford.edu/kundaje/oak/projects/neuro-variants/variant_position/credible/roussos_2024/variant_figures/roussos_2024.childhood.Astrocyte/rs77942366_count_position.png",4,220,900)</f>
        <v/>
      </c>
      <c r="T1216">
        <f>IMAGE("https://mitra.stanford.edu/kundaje/oak/projects/neuro-variants/variant_position/credible/roussos_2024/variant_figures/roussos_2024.childhood.Astrocyte/rs77942366_profile_position.png",4,220,900)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0.1188475708</v>
      </c>
      <c r="G1217" t="n">
        <v>0.0536049143389458</v>
      </c>
      <c r="H1217" t="n">
        <v>0.0130113930086329</v>
      </c>
      <c r="I1217" t="n">
        <v>0.4322716071418344</v>
      </c>
      <c r="J1217" t="n">
        <v>0.0283933655438772</v>
      </c>
      <c r="K1217" t="n">
        <v>0.5436734232674144</v>
      </c>
      <c r="L1217" t="b">
        <v>0</v>
      </c>
      <c r="M1217" t="b">
        <v>0</v>
      </c>
      <c r="N1217" t="inlineStr">
        <is>
          <t>alt</t>
        </is>
      </c>
      <c r="O1217" t="n">
        <v>-100</v>
      </c>
      <c r="P1217" t="n">
        <v>0.02034</v>
      </c>
      <c r="Q1217" t="n">
        <v>15</v>
      </c>
      <c r="R1217" t="n">
        <v>0.02808</v>
      </c>
      <c r="S1217">
        <f>IMAGE("https://mitra.stanford.edu/kundaje/oak/projects/neuro-variants/variant_position/credible/roussos_2024/variant_figures/roussos_2024.childhood.Astrocyte/rs76088535_count_position.png",4,220,900)</f>
        <v/>
      </c>
      <c r="T1217">
        <f>IMAGE("https://mitra.stanford.edu/kundaje/oak/projects/neuro-variants/variant_position/credible/roussos_2024/variant_figures/roussos_2024.childhood.Astrocyte/rs76088535_profile_position.png",4,220,900)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0.0012231863599999</v>
      </c>
      <c r="G1218" t="n">
        <v>0.8727150737336469</v>
      </c>
      <c r="H1218" t="n">
        <v>0.0184444528835572</v>
      </c>
      <c r="I1218" t="n">
        <v>0.1620005973024487</v>
      </c>
      <c r="J1218" t="n">
        <v>0.0072527153793897</v>
      </c>
      <c r="K1218" t="n">
        <v>0.7386812123255935</v>
      </c>
      <c r="L1218" t="b">
        <v>0</v>
      </c>
      <c r="M1218" t="b">
        <v>0</v>
      </c>
      <c r="N1218" t="inlineStr">
        <is>
          <t>alt</t>
        </is>
      </c>
      <c r="O1218" t="n">
        <v>100</v>
      </c>
      <c r="P1218" t="n">
        <v>0.02054</v>
      </c>
      <c r="Q1218" t="n">
        <v>-85</v>
      </c>
      <c r="R1218" t="n">
        <v>0.02441</v>
      </c>
      <c r="S1218">
        <f>IMAGE("https://mitra.stanford.edu/kundaje/oak/projects/neuro-variants/variant_position/credible/roussos_2024/variant_figures/roussos_2024.childhood.Astrocyte/rs113124653_count_position.png",4,220,900)</f>
        <v/>
      </c>
      <c r="T1218">
        <f>IMAGE("https://mitra.stanford.edu/kundaje/oak/projects/neuro-variants/variant_position/credible/roussos_2024/variant_figures/roussos_2024.childhood.Astrocyte/rs113124653_profile_position.png",4,220,900)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0.0053116518</v>
      </c>
      <c r="G1219" t="n">
        <v>0.4334110588111671</v>
      </c>
      <c r="H1219" t="n">
        <v>0.0205256512144997</v>
      </c>
      <c r="I1219" t="n">
        <v>0.1187119689488674</v>
      </c>
      <c r="J1219" t="n">
        <v>0.2684046621327655</v>
      </c>
      <c r="K1219" t="n">
        <v>0.1515847357480838</v>
      </c>
      <c r="L1219" t="b">
        <v>0</v>
      </c>
      <c r="M1219" t="b">
        <v>0</v>
      </c>
      <c r="N1219" t="inlineStr">
        <is>
          <t>alt</t>
        </is>
      </c>
      <c r="O1219" t="n">
        <v>-10</v>
      </c>
      <c r="P1219" t="n">
        <v>0.0006104</v>
      </c>
      <c r="Q1219" t="n">
        <v>-15</v>
      </c>
      <c r="R1219" t="n">
        <v>0.04126</v>
      </c>
      <c r="S1219">
        <f>IMAGE("https://mitra.stanford.edu/kundaje/oak/projects/neuro-variants/variant_position/credible/roussos_2024/variant_figures/roussos_2024.childhood.Astrocyte/rs116767752_count_position.png",4,220,900)</f>
        <v/>
      </c>
      <c r="T1219">
        <f>IMAGE("https://mitra.stanford.edu/kundaje/oak/projects/neuro-variants/variant_position/credible/roussos_2024/variant_figures/roussos_2024.childhood.Astrocyte/rs116767752_profile_position.png",4,220,900)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0.01935476512</v>
      </c>
      <c r="G1220" t="n">
        <v>0.455087331537122</v>
      </c>
      <c r="H1220" t="n">
        <v>0.0144222227482165</v>
      </c>
      <c r="I1220" t="n">
        <v>0.335553234735062</v>
      </c>
      <c r="J1220" t="n">
        <v>0.0100951813942127</v>
      </c>
      <c r="K1220" t="n">
        <v>0.701985960199684</v>
      </c>
      <c r="L1220" t="b">
        <v>0</v>
      </c>
      <c r="M1220" t="b">
        <v>0</v>
      </c>
      <c r="N1220" t="inlineStr">
        <is>
          <t>alt</t>
        </is>
      </c>
      <c r="O1220" t="n">
        <v>-65</v>
      </c>
      <c r="P1220" t="n">
        <v>0.03198</v>
      </c>
      <c r="Q1220" t="n">
        <v>-50</v>
      </c>
      <c r="R1220" t="n">
        <v>0.1368</v>
      </c>
      <c r="S1220">
        <f>IMAGE("https://mitra.stanford.edu/kundaje/oak/projects/neuro-variants/variant_position/credible/roussos_2024/variant_figures/roussos_2024.childhood.Astrocyte/rs71427137_count_position.png",4,220,900)</f>
        <v/>
      </c>
      <c r="T1220">
        <f>IMAGE("https://mitra.stanford.edu/kundaje/oak/projects/neuro-variants/variant_position/credible/roussos_2024/variant_figures/roussos_2024.childhood.Astrocyte/rs71427137_profile_position.png",4,220,900)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0.1417671242</v>
      </c>
      <c r="G1221" t="n">
        <v>0.0352485670164998</v>
      </c>
      <c r="H1221" t="n">
        <v>0.028355920643879</v>
      </c>
      <c r="I1221" t="n">
        <v>0.0368940969930083</v>
      </c>
      <c r="J1221" t="n">
        <v>0.0151267431476265</v>
      </c>
      <c r="K1221" t="n">
        <v>0.6928296770626211</v>
      </c>
      <c r="L1221" t="b">
        <v>0</v>
      </c>
      <c r="M1221" t="b">
        <v>0</v>
      </c>
      <c r="N1221" t="inlineStr">
        <is>
          <t>alt</t>
        </is>
      </c>
      <c r="O1221" t="n">
        <v>100</v>
      </c>
      <c r="P1221" t="n">
        <v>0.012146</v>
      </c>
      <c r="Q1221" t="n">
        <v>100</v>
      </c>
      <c r="R1221" t="n">
        <v>0.224</v>
      </c>
      <c r="S1221">
        <f>IMAGE("https://mitra.stanford.edu/kundaje/oak/projects/neuro-variants/variant_position/credible/roussos_2024/variant_figures/roussos_2024.childhood.Astrocyte/rs2332687_count_position.png",4,220,900)</f>
        <v/>
      </c>
      <c r="T1221">
        <f>IMAGE("https://mitra.stanford.edu/kundaje/oak/projects/neuro-variants/variant_position/credible/roussos_2024/variant_figures/roussos_2024.childhood.Astrocyte/rs2332687_profile_position.png",4,220,900)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0.005088312984</v>
      </c>
      <c r="G1222" t="n">
        <v>0.8347115002364858</v>
      </c>
      <c r="H1222" t="n">
        <v>0.033683215423965</v>
      </c>
      <c r="I1222" t="n">
        <v>0.019555222688286</v>
      </c>
      <c r="J1222" t="n">
        <v>0.0021051346049628</v>
      </c>
      <c r="K1222" t="n">
        <v>0.8658868232101488</v>
      </c>
      <c r="L1222" t="b">
        <v>0</v>
      </c>
      <c r="M1222" t="b">
        <v>0</v>
      </c>
      <c r="N1222" t="inlineStr">
        <is>
          <t>alt</t>
        </is>
      </c>
      <c r="O1222" t="n">
        <v>-60</v>
      </c>
      <c r="P1222" t="n">
        <v>0.002014</v>
      </c>
      <c r="Q1222" t="n">
        <v>0</v>
      </c>
      <c r="R1222" t="n">
        <v>0</v>
      </c>
      <c r="S1222">
        <f>IMAGE("https://mitra.stanford.edu/kundaje/oak/projects/neuro-variants/variant_position/credible/roussos_2024/variant_figures/roussos_2024.childhood.Astrocyte/rs2190864_count_position.png",4,220,900)</f>
        <v/>
      </c>
      <c r="T1222">
        <f>IMAGE("https://mitra.stanford.edu/kundaje/oak/projects/neuro-variants/variant_position/credible/roussos_2024/variant_figures/roussos_2024.childhood.Astrocyte/rs2190864_profile_position.png",4,220,900)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-0.0629756402</v>
      </c>
      <c r="G1223" t="n">
        <v>0.1569332112779354</v>
      </c>
      <c r="H1223" t="n">
        <v>0.009063015572618301</v>
      </c>
      <c r="I1223" t="n">
        <v>0.8023611149396893</v>
      </c>
      <c r="J1223" t="n">
        <v>0.1238258798745162</v>
      </c>
      <c r="K1223" t="n">
        <v>0.2845879188864376</v>
      </c>
      <c r="L1223" t="b">
        <v>0</v>
      </c>
      <c r="M1223" t="b">
        <v>0</v>
      </c>
      <c r="N1223" t="inlineStr">
        <is>
          <t>ref</t>
        </is>
      </c>
      <c r="O1223" t="n">
        <v>-60</v>
      </c>
      <c r="P1223" t="n">
        <v>0.01712</v>
      </c>
      <c r="Q1223" t="n">
        <v>-70</v>
      </c>
      <c r="R1223" t="n">
        <v>0.0094</v>
      </c>
      <c r="S1223">
        <f>IMAGE("https://mitra.stanford.edu/kundaje/oak/projects/neuro-variants/variant_position/credible/roussos_2024/variant_figures/roussos_2024.childhood.Astrocyte/rs2877774_count_position.png",4,220,900)</f>
        <v/>
      </c>
      <c r="T1223">
        <f>IMAGE("https://mitra.stanford.edu/kundaje/oak/projects/neuro-variants/variant_position/credible/roussos_2024/variant_figures/roussos_2024.childhood.Astrocyte/rs2877774_profile_position.png",4,220,900)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0.0103658232</v>
      </c>
      <c r="G1224" t="n">
        <v>0.3598967383169064</v>
      </c>
      <c r="H1224" t="n">
        <v>0.0123916578768088</v>
      </c>
      <c r="I1224" t="n">
        <v>0.4794871106379751</v>
      </c>
      <c r="J1224" t="n">
        <v>0.0177760985551052</v>
      </c>
      <c r="K1224" t="n">
        <v>0.6290429681306619</v>
      </c>
      <c r="L1224" t="b">
        <v>0</v>
      </c>
      <c r="M1224" t="b">
        <v>0</v>
      </c>
      <c r="N1224" t="inlineStr">
        <is>
          <t>alt</t>
        </is>
      </c>
      <c r="O1224" t="n">
        <v>-35</v>
      </c>
      <c r="P1224" t="n">
        <v>0.006317</v>
      </c>
      <c r="Q1224" t="n">
        <v>-35</v>
      </c>
      <c r="R1224" t="n">
        <v>0.05353</v>
      </c>
      <c r="S1224">
        <f>IMAGE("https://mitra.stanford.edu/kundaje/oak/projects/neuro-variants/variant_position/credible/roussos_2024/variant_figures/roussos_2024.childhood.Astrocyte/rs145192742_count_position.png",4,220,900)</f>
        <v/>
      </c>
      <c r="T1224">
        <f>IMAGE("https://mitra.stanford.edu/kundaje/oak/projects/neuro-variants/variant_position/credible/roussos_2024/variant_figures/roussos_2024.childhood.Astrocyte/rs145192742_profile_position.png",4,220,900)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0.056606326</v>
      </c>
      <c r="G1225" t="n">
        <v>0.1895315035780564</v>
      </c>
      <c r="H1225" t="n">
        <v>0.0108666980753593</v>
      </c>
      <c r="I1225" t="n">
        <v>0.6167691673774877</v>
      </c>
      <c r="J1225" t="n">
        <v>0.0182859716211368</v>
      </c>
      <c r="K1225" t="n">
        <v>0.6186410797331041</v>
      </c>
      <c r="L1225" t="b">
        <v>0</v>
      </c>
      <c r="M1225" t="b">
        <v>0</v>
      </c>
      <c r="N1225" t="inlineStr">
        <is>
          <t>alt</t>
        </is>
      </c>
      <c r="O1225" t="n">
        <v>80</v>
      </c>
      <c r="P1225" t="n">
        <v>0.008446</v>
      </c>
      <c r="Q1225" t="n">
        <v>95</v>
      </c>
      <c r="R1225" t="n">
        <v>0.1249</v>
      </c>
      <c r="S1225">
        <f>IMAGE("https://mitra.stanford.edu/kundaje/oak/projects/neuro-variants/variant_position/credible/roussos_2024/variant_figures/roussos_2024.childhood.Astrocyte/rs1779550_count_position.png",4,220,900)</f>
        <v/>
      </c>
      <c r="T1225">
        <f>IMAGE("https://mitra.stanford.edu/kundaje/oak/projects/neuro-variants/variant_position/credible/roussos_2024/variant_figures/roussos_2024.childhood.Astrocyte/rs1779550_profile_position.png",4,220,900)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-0.033638006</v>
      </c>
      <c r="G1226" t="n">
        <v>0.3439823540057398</v>
      </c>
      <c r="H1226" t="n">
        <v>0.0101748338021885</v>
      </c>
      <c r="I1226" t="n">
        <v>0.6746330055646447</v>
      </c>
      <c r="J1226" t="n">
        <v>0.0036011693496064</v>
      </c>
      <c r="K1226" t="n">
        <v>0.8172705822650134</v>
      </c>
      <c r="L1226" t="b">
        <v>0</v>
      </c>
      <c r="M1226" t="b">
        <v>0</v>
      </c>
      <c r="N1226" t="inlineStr">
        <is>
          <t>ref</t>
        </is>
      </c>
      <c r="O1226" t="n">
        <v>-75</v>
      </c>
      <c r="P1226" t="n">
        <v>0.01069</v>
      </c>
      <c r="Q1226" t="n">
        <v>-30</v>
      </c>
      <c r="R1226" t="n">
        <v>0.03632</v>
      </c>
      <c r="S1226">
        <f>IMAGE("https://mitra.stanford.edu/kundaje/oak/projects/neuro-variants/variant_position/credible/roussos_2024/variant_figures/roussos_2024.childhood.Astrocyte/rs2841157_count_position.png",4,220,900)</f>
        <v/>
      </c>
      <c r="T1226">
        <f>IMAGE("https://mitra.stanford.edu/kundaje/oak/projects/neuro-variants/variant_position/credible/roussos_2024/variant_figures/roussos_2024.childhood.Astrocyte/rs2841157_profile_position.png",4,220,900)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0.0170905227999999</v>
      </c>
      <c r="G1227" t="n">
        <v>0.2629351716346069</v>
      </c>
      <c r="H1227" t="n">
        <v>0.0239672421150828</v>
      </c>
      <c r="I1227" t="n">
        <v>0.0716634604226334</v>
      </c>
      <c r="J1227" t="n">
        <v>0.2119140848618075</v>
      </c>
      <c r="K1227" t="n">
        <v>0.1910350938402782</v>
      </c>
      <c r="L1227" t="b">
        <v>0</v>
      </c>
      <c r="M1227" t="b">
        <v>0</v>
      </c>
      <c r="N1227" t="inlineStr">
        <is>
          <t>alt</t>
        </is>
      </c>
      <c r="O1227" t="n">
        <v>-30</v>
      </c>
      <c r="P1227" t="n">
        <v>0.00557</v>
      </c>
      <c r="Q1227" t="n">
        <v>40</v>
      </c>
      <c r="R1227" t="n">
        <v>0.0786</v>
      </c>
      <c r="S1227">
        <f>IMAGE("https://mitra.stanford.edu/kundaje/oak/projects/neuro-variants/variant_position/credible/roussos_2024/variant_figures/roussos_2024.childhood.Astrocyte/rs995791_count_position.png",4,220,900)</f>
        <v/>
      </c>
      <c r="T1227">
        <f>IMAGE("https://mitra.stanford.edu/kundaje/oak/projects/neuro-variants/variant_position/credible/roussos_2024/variant_figures/roussos_2024.childhood.Astrocyte/rs995791_profile_position.png",4,220,900)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-0.1467553088</v>
      </c>
      <c r="G1228" t="n">
        <v>0.0352994478981011</v>
      </c>
      <c r="H1228" t="n">
        <v>0.0185503163974969</v>
      </c>
      <c r="I1228" t="n">
        <v>0.1604394088942361</v>
      </c>
      <c r="J1228" t="n">
        <v>0.1088258417103646</v>
      </c>
      <c r="K1228" t="n">
        <v>0.3092448462034481</v>
      </c>
      <c r="L1228" t="b">
        <v>0</v>
      </c>
      <c r="M1228" t="b">
        <v>0</v>
      </c>
      <c r="N1228" t="inlineStr">
        <is>
          <t>ref</t>
        </is>
      </c>
      <c r="O1228" t="n">
        <v>-90</v>
      </c>
      <c r="P1228" t="n">
        <v>0.02106</v>
      </c>
      <c r="Q1228" t="n">
        <v>-90</v>
      </c>
      <c r="R1228" t="n">
        <v>0.0659</v>
      </c>
      <c r="S1228">
        <f>IMAGE("https://mitra.stanford.edu/kundaje/oak/projects/neuro-variants/variant_position/credible/roussos_2024/variant_figures/roussos_2024.childhood.Astrocyte/rs1157827_count_position.png",4,220,900)</f>
        <v/>
      </c>
      <c r="T1228">
        <f>IMAGE("https://mitra.stanford.edu/kundaje/oak/projects/neuro-variants/variant_position/credible/roussos_2024/variant_figures/roussos_2024.childhood.Astrocyte/rs1157827_profile_position.png",4,220,900)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-0.0155444051</v>
      </c>
      <c r="G1229" t="n">
        <v>0.616078768884194</v>
      </c>
      <c r="H1229" t="n">
        <v>0.033024098593245</v>
      </c>
      <c r="I1229" t="n">
        <v>0.021265548954358</v>
      </c>
      <c r="J1229" t="n">
        <v>0.0134490470411332</v>
      </c>
      <c r="K1229" t="n">
        <v>0.6557425818857379</v>
      </c>
      <c r="L1229" t="b">
        <v>0</v>
      </c>
      <c r="M1229" t="b">
        <v>0</v>
      </c>
      <c r="N1229" t="inlineStr">
        <is>
          <t>ref</t>
        </is>
      </c>
      <c r="O1229" t="n">
        <v>100</v>
      </c>
      <c r="P1229" t="n">
        <v>0.02808</v>
      </c>
      <c r="Q1229" t="n">
        <v>100</v>
      </c>
      <c r="R1229" t="n">
        <v>0.2214</v>
      </c>
      <c r="S1229">
        <f>IMAGE("https://mitra.stanford.edu/kundaje/oak/projects/neuro-variants/variant_position/credible/roussos_2024/variant_figures/roussos_2024.childhood.Astrocyte/rs67517866_count_position.png",4,220,900)</f>
        <v/>
      </c>
      <c r="T1229">
        <f>IMAGE("https://mitra.stanford.edu/kundaje/oak/projects/neuro-variants/variant_position/credible/roussos_2024/variant_figures/roussos_2024.childhood.Astrocyte/rs67517866_profile_position.png",4,220,900)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0.0154492284</v>
      </c>
      <c r="G1230" t="n">
        <v>0.5883391005881</v>
      </c>
      <c r="H1230" t="n">
        <v>0.02619601465376</v>
      </c>
      <c r="I1230" t="n">
        <v>0.0505680372869183</v>
      </c>
      <c r="J1230" t="n">
        <v>0.0133620327753734</v>
      </c>
      <c r="K1230" t="n">
        <v>0.6575972530847218</v>
      </c>
      <c r="L1230" t="b">
        <v>0</v>
      </c>
      <c r="M1230" t="b">
        <v>0</v>
      </c>
      <c r="N1230" t="inlineStr">
        <is>
          <t>alt</t>
        </is>
      </c>
      <c r="O1230" t="n">
        <v>60</v>
      </c>
      <c r="P1230" t="n">
        <v>0.01581</v>
      </c>
      <c r="Q1230" t="n">
        <v>60</v>
      </c>
      <c r="R1230" t="n">
        <v>0.1837</v>
      </c>
      <c r="S1230">
        <f>IMAGE("https://mitra.stanford.edu/kundaje/oak/projects/neuro-variants/variant_position/credible/roussos_2024/variant_figures/roussos_2024.childhood.Astrocyte/rs28637508_count_position.png",4,220,900)</f>
        <v/>
      </c>
      <c r="T1230">
        <f>IMAGE("https://mitra.stanford.edu/kundaje/oak/projects/neuro-variants/variant_position/credible/roussos_2024/variant_figures/roussos_2024.childhood.Astrocyte/rs28637508_profile_position.png",4,220,900)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0.0091548859999999</v>
      </c>
      <c r="G1231" t="n">
        <v>0.7432094790018534</v>
      </c>
      <c r="H1231" t="n">
        <v>0.0592999897522959</v>
      </c>
      <c r="I1231" t="n">
        <v>0.002154113349548</v>
      </c>
      <c r="J1231" t="n">
        <v>0.0587392090861211</v>
      </c>
      <c r="K1231" t="n">
        <v>0.4230720857811558</v>
      </c>
      <c r="L1231" t="b">
        <v>1</v>
      </c>
      <c r="M1231" t="b">
        <v>1</v>
      </c>
      <c r="N1231" t="inlineStr">
        <is>
          <t>alt</t>
        </is>
      </c>
      <c r="O1231" t="n">
        <v>-80</v>
      </c>
      <c r="P1231" t="n">
        <v>0.003662</v>
      </c>
      <c r="Q1231" t="n">
        <v>-85</v>
      </c>
      <c r="R1231" t="n">
        <v>0.1555</v>
      </c>
      <c r="S1231">
        <f>IMAGE("https://mitra.stanford.edu/kundaje/oak/projects/neuro-variants/variant_position/credible/roussos_2024/variant_figures/roussos_2024.childhood.Astrocyte/rs7145105_count_position.png",4,220,900)</f>
        <v/>
      </c>
      <c r="T1231">
        <f>IMAGE("https://mitra.stanford.edu/kundaje/oak/projects/neuro-variants/variant_position/credible/roussos_2024/variant_figures/roussos_2024.childhood.Astrocyte/rs7145105_profile_position.png",4,220,900)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0.01160411526</v>
      </c>
      <c r="G1232" t="n">
        <v>0.6615676954854347</v>
      </c>
      <c r="H1232" t="n">
        <v>0.0070188905801624</v>
      </c>
      <c r="I1232" t="n">
        <v>0.9618685049710598</v>
      </c>
      <c r="J1232" t="n">
        <v>0.0708235060642836</v>
      </c>
      <c r="K1232" t="n">
        <v>0.390868373045891</v>
      </c>
      <c r="L1232" t="b">
        <v>0</v>
      </c>
      <c r="M1232" t="b">
        <v>0</v>
      </c>
      <c r="N1232" t="inlineStr">
        <is>
          <t>alt</t>
        </is>
      </c>
      <c r="O1232" t="n">
        <v>100</v>
      </c>
      <c r="P1232" t="n">
        <v>0.05023</v>
      </c>
      <c r="Q1232" t="n">
        <v>75</v>
      </c>
      <c r="R1232" t="n">
        <v>0.4873</v>
      </c>
      <c r="S1232">
        <f>IMAGE("https://mitra.stanford.edu/kundaje/oak/projects/neuro-variants/variant_position/credible/roussos_2024/variant_figures/roussos_2024.childhood.Astrocyte/rs12717596_count_position.png",4,220,900)</f>
        <v/>
      </c>
      <c r="T1232">
        <f>IMAGE("https://mitra.stanford.edu/kundaje/oak/projects/neuro-variants/variant_position/credible/roussos_2024/variant_figures/roussos_2024.childhood.Astrocyte/rs12717596_profile_position.png",4,220,900)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-0.0390122814</v>
      </c>
      <c r="G1233" t="n">
        <v>0.2956522814389433</v>
      </c>
      <c r="H1233" t="n">
        <v>0.0141939291971761</v>
      </c>
      <c r="I1233" t="n">
        <v>0.3501153897158691</v>
      </c>
      <c r="J1233" t="n">
        <v>0.0010838619068336</v>
      </c>
      <c r="K1233" t="n">
        <v>0.9075463183273472</v>
      </c>
      <c r="L1233" t="b">
        <v>0</v>
      </c>
      <c r="M1233" t="b">
        <v>0</v>
      </c>
      <c r="N1233" t="inlineStr">
        <is>
          <t>ref</t>
        </is>
      </c>
      <c r="O1233" t="n">
        <v>100</v>
      </c>
      <c r="P1233" t="n">
        <v>0.01033</v>
      </c>
      <c r="Q1233" t="n">
        <v>-80</v>
      </c>
      <c r="R1233" t="n">
        <v>0.07117</v>
      </c>
      <c r="S1233">
        <f>IMAGE("https://mitra.stanford.edu/kundaje/oak/projects/neuro-variants/variant_position/credible/roussos_2024/variant_figures/roussos_2024.childhood.Astrocyte/rs7148526_count_position.png",4,220,900)</f>
        <v/>
      </c>
      <c r="T1233">
        <f>IMAGE("https://mitra.stanford.edu/kundaje/oak/projects/neuro-variants/variant_position/credible/roussos_2024/variant_figures/roussos_2024.childhood.Astrocyte/rs7148526_profile_position.png",4,220,900)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-0.02091036646</v>
      </c>
      <c r="G1234" t="n">
        <v>0.5062809950609868</v>
      </c>
      <c r="H1234" t="n">
        <v>0.0327288663226512</v>
      </c>
      <c r="I1234" t="n">
        <v>0.0211035231268799</v>
      </c>
      <c r="J1234" t="n">
        <v>0.0495889720867394</v>
      </c>
      <c r="K1234" t="n">
        <v>0.4458223636710324</v>
      </c>
      <c r="L1234" t="b">
        <v>0</v>
      </c>
      <c r="M1234" t="b">
        <v>0</v>
      </c>
      <c r="N1234" t="inlineStr">
        <is>
          <t>ref</t>
        </is>
      </c>
      <c r="O1234" t="n">
        <v>-35</v>
      </c>
      <c r="P1234" t="n">
        <v>0.03378</v>
      </c>
      <c r="Q1234" t="n">
        <v>90</v>
      </c>
      <c r="R1234" t="n">
        <v>0.05923</v>
      </c>
      <c r="S1234">
        <f>IMAGE("https://mitra.stanford.edu/kundaje/oak/projects/neuro-variants/variant_position/credible/roussos_2024/variant_figures/roussos_2024.childhood.Astrocyte/rs3001377_count_position.png",4,220,900)</f>
        <v/>
      </c>
      <c r="T1234">
        <f>IMAGE("https://mitra.stanford.edu/kundaje/oak/projects/neuro-variants/variant_position/credible/roussos_2024/variant_figures/roussos_2024.childhood.Astrocyte/rs3001377_profile_position.png",4,220,900)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-0.143246656</v>
      </c>
      <c r="G1235" t="n">
        <v>0.036622757080261</v>
      </c>
      <c r="H1235" t="n">
        <v>0.0261363686520522</v>
      </c>
      <c r="I1235" t="n">
        <v>0.0518955496727002</v>
      </c>
      <c r="J1235" t="n">
        <v>0.1140306687122651</v>
      </c>
      <c r="K1235" t="n">
        <v>0.2995410731829777</v>
      </c>
      <c r="L1235" t="b">
        <v>0</v>
      </c>
      <c r="M1235" t="b">
        <v>0</v>
      </c>
      <c r="N1235" t="inlineStr">
        <is>
          <t>ref</t>
        </is>
      </c>
      <c r="O1235" t="n">
        <v>-100</v>
      </c>
      <c r="P1235" t="n">
        <v>0.003418</v>
      </c>
      <c r="Q1235" t="n">
        <v>10</v>
      </c>
      <c r="R1235" t="n">
        <v>0.021</v>
      </c>
      <c r="S1235">
        <f>IMAGE("https://mitra.stanford.edu/kundaje/oak/projects/neuro-variants/variant_position/credible/roussos_2024/variant_figures/roussos_2024.childhood.Astrocyte/rs77782646_count_position.png",4,220,900)</f>
        <v/>
      </c>
      <c r="T1235">
        <f>IMAGE("https://mitra.stanford.edu/kundaje/oak/projects/neuro-variants/variant_position/credible/roussos_2024/variant_figures/roussos_2024.childhood.Astrocyte/rs77782646_profile_position.png",4,220,900)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-0.028722414</v>
      </c>
      <c r="G1236" t="n">
        <v>0.3994910460905658</v>
      </c>
      <c r="H1236" t="n">
        <v>0.0293485182102249</v>
      </c>
      <c r="I1236" t="n">
        <v>0.0326681457489978</v>
      </c>
      <c r="J1236" t="n">
        <v>0.1184218360010075</v>
      </c>
      <c r="K1236" t="n">
        <v>0.2938236223981035</v>
      </c>
      <c r="L1236" t="b">
        <v>0</v>
      </c>
      <c r="M1236" t="b">
        <v>0</v>
      </c>
      <c r="N1236" t="inlineStr">
        <is>
          <t>ref</t>
        </is>
      </c>
      <c r="O1236" t="n">
        <v>90</v>
      </c>
      <c r="P1236" t="n">
        <v>0.03262</v>
      </c>
      <c r="Q1236" t="n">
        <v>-100</v>
      </c>
      <c r="R1236" t="n">
        <v>0.2703</v>
      </c>
      <c r="S1236">
        <f>IMAGE("https://mitra.stanford.edu/kundaje/oak/projects/neuro-variants/variant_position/credible/roussos_2024/variant_figures/roussos_2024.childhood.Astrocyte/rs8004742_count_position.png",4,220,900)</f>
        <v/>
      </c>
      <c r="T1236">
        <f>IMAGE("https://mitra.stanford.edu/kundaje/oak/projects/neuro-variants/variant_position/credible/roussos_2024/variant_figures/roussos_2024.childhood.Astrocyte/rs8004742_profile_position.png",4,220,900)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-0.00220954492</v>
      </c>
      <c r="G1237" t="n">
        <v>0.7691458218450651</v>
      </c>
      <c r="H1237" t="n">
        <v>0.0312049147225404</v>
      </c>
      <c r="I1237" t="n">
        <v>0.0255282813560523</v>
      </c>
      <c r="J1237" t="n">
        <v>0.1066375092548067</v>
      </c>
      <c r="K1237" t="n">
        <v>0.3137679241635194</v>
      </c>
      <c r="L1237" t="b">
        <v>0</v>
      </c>
      <c r="M1237" t="b">
        <v>0</v>
      </c>
      <c r="N1237" t="inlineStr">
        <is>
          <t>ref</t>
        </is>
      </c>
      <c r="O1237" t="n">
        <v>-100</v>
      </c>
      <c r="P1237" t="n">
        <v>0.012886</v>
      </c>
      <c r="Q1237" t="n">
        <v>-75</v>
      </c>
      <c r="R1237" t="n">
        <v>0.05472</v>
      </c>
      <c r="S1237">
        <f>IMAGE("https://mitra.stanford.edu/kundaje/oak/projects/neuro-variants/variant_position/credible/roussos_2024/variant_figures/roussos_2024.childhood.Astrocyte/rs146120508_count_position.png",4,220,900)</f>
        <v/>
      </c>
      <c r="T1237">
        <f>IMAGE("https://mitra.stanford.edu/kundaje/oak/projects/neuro-variants/variant_position/credible/roussos_2024/variant_figures/roussos_2024.childhood.Astrocyte/rs146120508_profile_position.png",4,220,900)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-0.0180498844</v>
      </c>
      <c r="G1238" t="n">
        <v>0.5439914046575586</v>
      </c>
      <c r="H1238" t="n">
        <v>0.0256921035469979</v>
      </c>
      <c r="I1238" t="n">
        <v>0.0527686949723148</v>
      </c>
      <c r="J1238" t="n">
        <v>0.0591116912062161</v>
      </c>
      <c r="K1238" t="n">
        <v>0.4266003586412698</v>
      </c>
      <c r="L1238" t="b">
        <v>0</v>
      </c>
      <c r="M1238" t="b">
        <v>0</v>
      </c>
      <c r="N1238" t="inlineStr">
        <is>
          <t>ref</t>
        </is>
      </c>
      <c r="O1238" t="n">
        <v>70</v>
      </c>
      <c r="P1238" t="n">
        <v>0.05035</v>
      </c>
      <c r="Q1238" t="n">
        <v>100</v>
      </c>
      <c r="R1238" t="n">
        <v>0.3098</v>
      </c>
      <c r="S1238">
        <f>IMAGE("https://mitra.stanford.edu/kundaje/oak/projects/neuro-variants/variant_position/credible/roussos_2024/variant_figures/roussos_2024.childhood.Astrocyte/rs8004689_count_position.png",4,220,900)</f>
        <v/>
      </c>
      <c r="T1238">
        <f>IMAGE("https://mitra.stanford.edu/kundaje/oak/projects/neuro-variants/variant_position/credible/roussos_2024/variant_figures/roussos_2024.childhood.Astrocyte/rs8004689_profile_position.png",4,220,900)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-0.03219867226</v>
      </c>
      <c r="G1239" t="n">
        <v>0.380215334743711</v>
      </c>
      <c r="H1239" t="n">
        <v>0.025461641905023</v>
      </c>
      <c r="I1239" t="n">
        <v>0.0565240434800558</v>
      </c>
      <c r="J1239" t="n">
        <v>0.040095257722516</v>
      </c>
      <c r="K1239" t="n">
        <v>0.4963584237779645</v>
      </c>
      <c r="L1239" t="b">
        <v>0</v>
      </c>
      <c r="M1239" t="b">
        <v>0</v>
      </c>
      <c r="N1239" t="inlineStr">
        <is>
          <t>ref</t>
        </is>
      </c>
      <c r="O1239" t="n">
        <v>-85</v>
      </c>
      <c r="P1239" t="n">
        <v>0.009186</v>
      </c>
      <c r="Q1239" t="n">
        <v>-70</v>
      </c>
      <c r="R1239" t="n">
        <v>0.1074</v>
      </c>
      <c r="S1239">
        <f>IMAGE("https://mitra.stanford.edu/kundaje/oak/projects/neuro-variants/variant_position/credible/roussos_2024/variant_figures/roussos_2024.childhood.Astrocyte/rs184858889_count_position.png",4,220,900)</f>
        <v/>
      </c>
      <c r="T1239">
        <f>IMAGE("https://mitra.stanford.edu/kundaje/oak/projects/neuro-variants/variant_position/credible/roussos_2024/variant_figures/roussos_2024.childhood.Astrocyte/rs184858889_profile_position.png",4,220,900)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0.01933865424</v>
      </c>
      <c r="G1240" t="n">
        <v>0.5406073402328213</v>
      </c>
      <c r="H1240" t="n">
        <v>0.0095779160556327</v>
      </c>
      <c r="I1240" t="n">
        <v>0.7551449560712109</v>
      </c>
      <c r="J1240" t="n">
        <v>0.0815873233953882</v>
      </c>
      <c r="K1240" t="n">
        <v>0.3657343372786613</v>
      </c>
      <c r="L1240" t="b">
        <v>0</v>
      </c>
      <c r="M1240" t="b">
        <v>0</v>
      </c>
      <c r="N1240" t="inlineStr">
        <is>
          <t>alt</t>
        </is>
      </c>
      <c r="O1240" t="n">
        <v>-100</v>
      </c>
      <c r="P1240" t="n">
        <v>0.01448</v>
      </c>
      <c r="Q1240" t="n">
        <v>-75</v>
      </c>
      <c r="R1240" t="n">
        <v>0.09130000000000001</v>
      </c>
      <c r="S1240">
        <f>IMAGE("https://mitra.stanford.edu/kundaje/oak/projects/neuro-variants/variant_position/credible/roussos_2024/variant_figures/roussos_2024.childhood.Astrocyte/rs4144366_count_position.png",4,220,900)</f>
        <v/>
      </c>
      <c r="T1240">
        <f>IMAGE("https://mitra.stanford.edu/kundaje/oak/projects/neuro-variants/variant_position/credible/roussos_2024/variant_figures/roussos_2024.childhood.Astrocyte/rs4144366_profile_position.png",4,220,900)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0.0004263923399999</v>
      </c>
      <c r="G1241" t="n">
        <v>0.8950944509301116</v>
      </c>
      <c r="H1241" t="n">
        <v>0.0159155412264768</v>
      </c>
      <c r="I1241" t="n">
        <v>0.2534912883031077</v>
      </c>
      <c r="J1241" t="n">
        <v>0.0311587399723691</v>
      </c>
      <c r="K1241" t="n">
        <v>0.5261952093157286</v>
      </c>
      <c r="L1241" t="b">
        <v>0</v>
      </c>
      <c r="M1241" t="b">
        <v>0</v>
      </c>
      <c r="N1241" t="inlineStr">
        <is>
          <t>alt</t>
        </is>
      </c>
      <c r="O1241" t="n">
        <v>-40</v>
      </c>
      <c r="P1241" t="n">
        <v>0.006447</v>
      </c>
      <c r="Q1241" t="n">
        <v>65</v>
      </c>
      <c r="R1241" t="n">
        <v>0.0379</v>
      </c>
      <c r="S1241">
        <f>IMAGE("https://mitra.stanford.edu/kundaje/oak/projects/neuro-variants/variant_position/credible/roussos_2024/variant_figures/roussos_2024.childhood.Astrocyte/rs186989036_count_position.png",4,220,900)</f>
        <v/>
      </c>
      <c r="T1241">
        <f>IMAGE("https://mitra.stanford.edu/kundaje/oak/projects/neuro-variants/variant_position/credible/roussos_2024/variant_figures/roussos_2024.childhood.Astrocyte/rs186989036_profile_position.png",4,220,900)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-0.0245182386</v>
      </c>
      <c r="G1242" t="n">
        <v>0.4011063985196209</v>
      </c>
      <c r="H1242" t="n">
        <v>0.018247157670565</v>
      </c>
      <c r="I1242" t="n">
        <v>0.1664196057916025</v>
      </c>
      <c r="J1242" t="n">
        <v>0.0614687092120628</v>
      </c>
      <c r="K1242" t="n">
        <v>0.4080619609447808</v>
      </c>
      <c r="L1242" t="b">
        <v>0</v>
      </c>
      <c r="M1242" t="b">
        <v>0</v>
      </c>
      <c r="N1242" t="inlineStr">
        <is>
          <t>ref</t>
        </is>
      </c>
      <c r="O1242" t="n">
        <v>80</v>
      </c>
      <c r="P1242" t="n">
        <v>0.01797</v>
      </c>
      <c r="Q1242" t="n">
        <v>50</v>
      </c>
      <c r="R1242" t="n">
        <v>0.1868</v>
      </c>
      <c r="S1242">
        <f>IMAGE("https://mitra.stanford.edu/kundaje/oak/projects/neuro-variants/variant_position/credible/roussos_2024/variant_figures/roussos_2024.childhood.Astrocyte/rs67378160_count_position.png",4,220,900)</f>
        <v/>
      </c>
      <c r="T1242">
        <f>IMAGE("https://mitra.stanford.edu/kundaje/oak/projects/neuro-variants/variant_position/credible/roussos_2024/variant_figures/roussos_2024.childhood.Astrocyte/rs67378160_profile_position.png",4,220,900)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0.1107880068</v>
      </c>
      <c r="G1243" t="n">
        <v>0.0575555653759767</v>
      </c>
      <c r="H1243" t="n">
        <v>0.0306580209553027</v>
      </c>
      <c r="I1243" t="n">
        <v>0.0270714697699821</v>
      </c>
      <c r="J1243" t="n">
        <v>0.0095295886667735</v>
      </c>
      <c r="K1243" t="n">
        <v>0.7040281840039007</v>
      </c>
      <c r="L1243" t="b">
        <v>0</v>
      </c>
      <c r="M1243" t="b">
        <v>0</v>
      </c>
      <c r="N1243" t="inlineStr">
        <is>
          <t>alt</t>
        </is>
      </c>
      <c r="O1243" t="n">
        <v>-5</v>
      </c>
      <c r="P1243" t="n">
        <v>0.0009155</v>
      </c>
      <c r="Q1243" t="n">
        <v>15</v>
      </c>
      <c r="R1243" t="n">
        <v>0.04736</v>
      </c>
      <c r="S1243">
        <f>IMAGE("https://mitra.stanford.edu/kundaje/oak/projects/neuro-variants/variant_position/credible/roussos_2024/variant_figures/roussos_2024.childhood.Astrocyte/rs7146851_count_position.png",4,220,900)</f>
        <v/>
      </c>
      <c r="T1243">
        <f>IMAGE("https://mitra.stanford.edu/kundaje/oak/projects/neuro-variants/variant_position/credible/roussos_2024/variant_figures/roussos_2024.childhood.Astrocyte/rs7146851_profile_position.png",4,220,900)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0.00339050046</v>
      </c>
      <c r="G1244" t="n">
        <v>0.8522563592841848</v>
      </c>
      <c r="H1244" t="n">
        <v>0.0308363014824364</v>
      </c>
      <c r="I1244" t="n">
        <v>0.0266866059199517</v>
      </c>
      <c r="J1244" t="n">
        <v>0.0021593277003045</v>
      </c>
      <c r="K1244" t="n">
        <v>0.8537179521138012</v>
      </c>
      <c r="L1244" t="b">
        <v>0</v>
      </c>
      <c r="M1244" t="b">
        <v>0</v>
      </c>
      <c r="N1244" t="inlineStr">
        <is>
          <t>alt</t>
        </is>
      </c>
      <c r="O1244" t="n">
        <v>-40</v>
      </c>
      <c r="P1244" t="n">
        <v>0.004425</v>
      </c>
      <c r="Q1244" t="n">
        <v>65</v>
      </c>
      <c r="R1244" t="n">
        <v>0.05826</v>
      </c>
      <c r="S1244">
        <f>IMAGE("https://mitra.stanford.edu/kundaje/oak/projects/neuro-variants/variant_position/credible/roussos_2024/variant_figures/roussos_2024.childhood.Astrocyte/rs17129021_count_position.png",4,220,900)</f>
        <v/>
      </c>
      <c r="T1244">
        <f>IMAGE("https://mitra.stanford.edu/kundaje/oak/projects/neuro-variants/variant_position/credible/roussos_2024/variant_figures/roussos_2024.childhood.Astrocyte/rs17129021_profile_position.png",4,220,900)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0.1157088879999999</v>
      </c>
      <c r="G1245" t="n">
        <v>0.0513576553700152</v>
      </c>
      <c r="H1245" t="n">
        <v>0.0175813802849639</v>
      </c>
      <c r="I1245" t="n">
        <v>0.196527387749578</v>
      </c>
      <c r="J1245" t="n">
        <v>0.1665819422500057</v>
      </c>
      <c r="K1245" t="n">
        <v>0.2356556843029867</v>
      </c>
      <c r="L1245" t="b">
        <v>0</v>
      </c>
      <c r="M1245" t="b">
        <v>0</v>
      </c>
      <c r="N1245" t="inlineStr">
        <is>
          <t>alt</t>
        </is>
      </c>
      <c r="O1245" t="n">
        <v>-65</v>
      </c>
      <c r="P1245" t="n">
        <v>0.02884</v>
      </c>
      <c r="Q1245" t="n">
        <v>-70</v>
      </c>
      <c r="R1245" t="n">
        <v>0.2448</v>
      </c>
      <c r="S1245">
        <f>IMAGE("https://mitra.stanford.edu/kundaje/oak/projects/neuro-variants/variant_position/credible/roussos_2024/variant_figures/roussos_2024.childhood.Astrocyte/rs12591010_count_position.png",4,220,900)</f>
        <v/>
      </c>
      <c r="T1245">
        <f>IMAGE("https://mitra.stanford.edu/kundaje/oak/projects/neuro-variants/variant_position/credible/roussos_2024/variant_figures/roussos_2024.childhood.Astrocyte/rs12591010_profile_position.png",4,220,900)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0.00645479374</v>
      </c>
      <c r="G1246" t="n">
        <v>0.7056382431646536</v>
      </c>
      <c r="H1246" t="n">
        <v>0.008613768248789899</v>
      </c>
      <c r="I1246" t="n">
        <v>0.8571446092010184</v>
      </c>
      <c r="J1246" t="n">
        <v>0.1836161296970529</v>
      </c>
      <c r="K1246" t="n">
        <v>0.2185237254763234</v>
      </c>
      <c r="L1246" t="b">
        <v>0</v>
      </c>
      <c r="M1246" t="b">
        <v>0</v>
      </c>
      <c r="N1246" t="inlineStr">
        <is>
          <t>alt</t>
        </is>
      </c>
      <c r="O1246" t="n">
        <v>-100</v>
      </c>
      <c r="P1246" t="n">
        <v>0.01472</v>
      </c>
      <c r="Q1246" t="n">
        <v>35</v>
      </c>
      <c r="R1246" t="n">
        <v>0.1145</v>
      </c>
      <c r="S1246">
        <f>IMAGE("https://mitra.stanford.edu/kundaje/oak/projects/neuro-variants/variant_position/credible/roussos_2024/variant_figures/roussos_2024.childhood.Astrocyte/rs942065_count_position.png",4,220,900)</f>
        <v/>
      </c>
      <c r="T1246">
        <f>IMAGE("https://mitra.stanford.edu/kundaje/oak/projects/neuro-variants/variant_position/credible/roussos_2024/variant_figures/roussos_2024.childhood.Astrocyte/rs942065_profile_position.png",4,220,900)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0.115147312</v>
      </c>
      <c r="G1247" t="n">
        <v>0.0540461657882185</v>
      </c>
      <c r="H1247" t="n">
        <v>0.0146254313040329</v>
      </c>
      <c r="I1247" t="n">
        <v>0.3174220737850174</v>
      </c>
      <c r="J1247" t="n">
        <v>0.1484043568195522</v>
      </c>
      <c r="K1247" t="n">
        <v>0.2622269543134882</v>
      </c>
      <c r="L1247" t="b">
        <v>0</v>
      </c>
      <c r="M1247" t="b">
        <v>0</v>
      </c>
      <c r="N1247" t="inlineStr">
        <is>
          <t>alt</t>
        </is>
      </c>
      <c r="O1247" t="n">
        <v>-100</v>
      </c>
      <c r="P1247" t="n">
        <v>0.013466</v>
      </c>
      <c r="Q1247" t="n">
        <v>-100</v>
      </c>
      <c r="R1247" t="n">
        <v>0.1783</v>
      </c>
      <c r="S1247">
        <f>IMAGE("https://mitra.stanford.edu/kundaje/oak/projects/neuro-variants/variant_position/credible/roussos_2024/variant_figures/roussos_2024.childhood.Astrocyte/rs947191_count_position.png",4,220,900)</f>
        <v/>
      </c>
      <c r="T1247">
        <f>IMAGE("https://mitra.stanford.edu/kundaje/oak/projects/neuro-variants/variant_position/credible/roussos_2024/variant_figures/roussos_2024.childhood.Astrocyte/rs947191_profile_position.png",4,220,900)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0.0777233722</v>
      </c>
      <c r="G1248" t="n">
        <v>0.1247815792020608</v>
      </c>
      <c r="H1248" t="n">
        <v>0.0258065516343191</v>
      </c>
      <c r="I1248" t="n">
        <v>0.0537887500908006</v>
      </c>
      <c r="J1248" t="n">
        <v>0.062078572355415</v>
      </c>
      <c r="K1248" t="n">
        <v>0.4156961100928703</v>
      </c>
      <c r="L1248" t="b">
        <v>0</v>
      </c>
      <c r="M1248" t="b">
        <v>0</v>
      </c>
      <c r="N1248" t="inlineStr">
        <is>
          <t>alt</t>
        </is>
      </c>
      <c r="O1248" t="n">
        <v>100</v>
      </c>
      <c r="P1248" t="n">
        <v>0.01532</v>
      </c>
      <c r="Q1248" t="n">
        <v>5</v>
      </c>
      <c r="R1248" t="n">
        <v>0.00293</v>
      </c>
      <c r="S1248">
        <f>IMAGE("https://mitra.stanford.edu/kundaje/oak/projects/neuro-variants/variant_position/credible/roussos_2024/variant_figures/roussos_2024.childhood.Astrocyte/rs2614457_count_position.png",4,220,900)</f>
        <v/>
      </c>
      <c r="T1248">
        <f>IMAGE("https://mitra.stanford.edu/kundaje/oak/projects/neuro-variants/variant_position/credible/roussos_2024/variant_figures/roussos_2024.childhood.Astrocyte/rs2614457_profile_position.png",4,220,900)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-0.08526679</v>
      </c>
      <c r="G1249" t="n">
        <v>0.1130097245373011</v>
      </c>
      <c r="H1249" t="n">
        <v>0.0142793952511996</v>
      </c>
      <c r="I1249" t="n">
        <v>0.3302872895730303</v>
      </c>
      <c r="J1249" t="n">
        <v>0.0480242418691274</v>
      </c>
      <c r="K1249" t="n">
        <v>0.4579977955419765</v>
      </c>
      <c r="L1249" t="b">
        <v>0</v>
      </c>
      <c r="M1249" t="b">
        <v>0</v>
      </c>
      <c r="N1249" t="inlineStr">
        <is>
          <t>ref</t>
        </is>
      </c>
      <c r="O1249" t="n">
        <v>95</v>
      </c>
      <c r="P1249" t="n">
        <v>0.01519</v>
      </c>
      <c r="Q1249" t="n">
        <v>-80</v>
      </c>
      <c r="R1249" t="n">
        <v>0.2166</v>
      </c>
      <c r="S1249">
        <f>IMAGE("https://mitra.stanford.edu/kundaje/oak/projects/neuro-variants/variant_position/credible/roussos_2024/variant_figures/roussos_2024.childhood.Astrocyte/rs2693695_count_position.png",4,220,900)</f>
        <v/>
      </c>
      <c r="T1249">
        <f>IMAGE("https://mitra.stanford.edu/kundaje/oak/projects/neuro-variants/variant_position/credible/roussos_2024/variant_figures/roussos_2024.childhood.Astrocyte/rs2693695_profile_position.png",4,220,900)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-0.4259132320000001</v>
      </c>
      <c r="G1250" t="n">
        <v>0.0019349649927046</v>
      </c>
      <c r="H1250" t="n">
        <v>0.0618491901540019</v>
      </c>
      <c r="I1250" t="n">
        <v>0.0019124666643462</v>
      </c>
      <c r="J1250" t="n">
        <v>0.8647225847816629</v>
      </c>
      <c r="K1250" t="n">
        <v>0.0038077129399572</v>
      </c>
      <c r="L1250" t="b">
        <v>1</v>
      </c>
      <c r="M1250" t="b">
        <v>1</v>
      </c>
      <c r="N1250" t="inlineStr">
        <is>
          <t>ref</t>
        </is>
      </c>
      <c r="O1250" t="n">
        <v>100</v>
      </c>
      <c r="P1250" t="n">
        <v>0.005127</v>
      </c>
      <c r="Q1250" t="n">
        <v>40</v>
      </c>
      <c r="R1250" t="n">
        <v>0.008545000000000001</v>
      </c>
      <c r="S1250">
        <f>IMAGE("https://mitra.stanford.edu/kundaje/oak/projects/neuro-variants/variant_position/credible/roussos_2024/variant_figures/roussos_2024.childhood.Astrocyte/rs12895055_count_position.png",4,220,900)</f>
        <v/>
      </c>
      <c r="T1250">
        <f>IMAGE("https://mitra.stanford.edu/kundaje/oak/projects/neuro-variants/variant_position/credible/roussos_2024/variant_figures/roussos_2024.childhood.Astrocyte/rs12895055_profile_position.png",4,220,900)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0.00988801162</v>
      </c>
      <c r="G1251" t="n">
        <v>0.7289302958372544</v>
      </c>
      <c r="H1251" t="n">
        <v>0.0228283227947273</v>
      </c>
      <c r="I1251" t="n">
        <v>0.0812214412683418</v>
      </c>
      <c r="J1251" t="n">
        <v>0.0298123087021898</v>
      </c>
      <c r="K1251" t="n">
        <v>0.5257560338136504</v>
      </c>
      <c r="L1251" t="b">
        <v>0</v>
      </c>
      <c r="M1251" t="b">
        <v>0</v>
      </c>
      <c r="N1251" t="inlineStr">
        <is>
          <t>alt</t>
        </is>
      </c>
      <c r="O1251" t="n">
        <v>-100</v>
      </c>
      <c r="P1251" t="n">
        <v>0.00566</v>
      </c>
      <c r="Q1251" t="n">
        <v>90</v>
      </c>
      <c r="R1251" t="n">
        <v>0.2181</v>
      </c>
      <c r="S1251">
        <f>IMAGE("https://mitra.stanford.edu/kundaje/oak/projects/neuro-variants/variant_position/credible/roussos_2024/variant_figures/roussos_2024.childhood.Astrocyte/rs7147531_count_position.png",4,220,900)</f>
        <v/>
      </c>
      <c r="T1251">
        <f>IMAGE("https://mitra.stanford.edu/kundaje/oak/projects/neuro-variants/variant_position/credible/roussos_2024/variant_figures/roussos_2024.childhood.Astrocyte/rs7147531_profile_position.png",4,220,900)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0.02466447646</v>
      </c>
      <c r="G1252" t="n">
        <v>0.4533817320410974</v>
      </c>
      <c r="H1252" t="n">
        <v>0.0158999396252558</v>
      </c>
      <c r="I1252" t="n">
        <v>0.2496715483824038</v>
      </c>
      <c r="J1252" t="n">
        <v>0.0295192080175249</v>
      </c>
      <c r="K1252" t="n">
        <v>0.5391471174923419</v>
      </c>
      <c r="L1252" t="b">
        <v>0</v>
      </c>
      <c r="M1252" t="b">
        <v>0</v>
      </c>
      <c r="N1252" t="inlineStr">
        <is>
          <t>alt</t>
        </is>
      </c>
      <c r="O1252" t="n">
        <v>-100</v>
      </c>
      <c r="P1252" t="n">
        <v>0.003807</v>
      </c>
      <c r="Q1252" t="n">
        <v>100</v>
      </c>
      <c r="R1252" t="n">
        <v>0.1431</v>
      </c>
      <c r="S1252">
        <f>IMAGE("https://mitra.stanford.edu/kundaje/oak/projects/neuro-variants/variant_position/credible/roussos_2024/variant_figures/roussos_2024.childhood.Astrocyte/rs2403102_count_position.png",4,220,900)</f>
        <v/>
      </c>
      <c r="T1252">
        <f>IMAGE("https://mitra.stanford.edu/kundaje/oak/projects/neuro-variants/variant_position/credible/roussos_2024/variant_figures/roussos_2024.childhood.Astrocyte/rs2403102_profile_position.png",4,220,900)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-0.036722213</v>
      </c>
      <c r="G1253" t="n">
        <v>0.2255605239206632</v>
      </c>
      <c r="H1253" t="n">
        <v>0.0218990432917963</v>
      </c>
      <c r="I1253" t="n">
        <v>0.1183648885344283</v>
      </c>
      <c r="J1253" t="n">
        <v>0.0830482471205147</v>
      </c>
      <c r="K1253" t="n">
        <v>0.3593625803320527</v>
      </c>
      <c r="L1253" t="b">
        <v>0</v>
      </c>
      <c r="M1253" t="b">
        <v>0</v>
      </c>
      <c r="N1253" t="inlineStr">
        <is>
          <t>ref</t>
        </is>
      </c>
      <c r="O1253" t="n">
        <v>-70</v>
      </c>
      <c r="P1253" t="n">
        <v>0.010475</v>
      </c>
      <c r="Q1253" t="n">
        <v>-90</v>
      </c>
      <c r="R1253" t="n">
        <v>0.2017</v>
      </c>
      <c r="S1253">
        <f>IMAGE("https://mitra.stanford.edu/kundaje/oak/projects/neuro-variants/variant_position/credible/roussos_2024/variant_figures/roussos_2024.childhood.Astrocyte/rs1131877_count_position.png",4,220,900)</f>
        <v/>
      </c>
      <c r="T1253">
        <f>IMAGE("https://mitra.stanford.edu/kundaje/oak/projects/neuro-variants/variant_position/credible/roussos_2024/variant_figures/roussos_2024.childhood.Astrocyte/rs1131877_profile_position.png",4,220,900)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-0.0213662656</v>
      </c>
      <c r="G1254" t="n">
        <v>0.5064510908912015</v>
      </c>
      <c r="H1254" t="n">
        <v>0.008290450361489701</v>
      </c>
      <c r="I1254" t="n">
        <v>0.8661495342530412</v>
      </c>
      <c r="J1254" t="n">
        <v>0.0034057688931632</v>
      </c>
      <c r="K1254" t="n">
        <v>0.8204746820798755</v>
      </c>
      <c r="L1254" t="b">
        <v>0</v>
      </c>
      <c r="M1254" t="b">
        <v>0</v>
      </c>
      <c r="N1254" t="inlineStr">
        <is>
          <t>ref</t>
        </is>
      </c>
      <c r="O1254" t="n">
        <v>25</v>
      </c>
      <c r="P1254" t="n">
        <v>0.002144</v>
      </c>
      <c r="Q1254" t="n">
        <v>-80</v>
      </c>
      <c r="R1254" t="n">
        <v>0.10657</v>
      </c>
      <c r="S1254">
        <f>IMAGE("https://mitra.stanford.edu/kundaje/oak/projects/neuro-variants/variant_position/credible/roussos_2024/variant_figures/roussos_2024.childhood.Astrocyte/rs8007609_count_position.png",4,220,900)</f>
        <v/>
      </c>
      <c r="T1254">
        <f>IMAGE("https://mitra.stanford.edu/kundaje/oak/projects/neuro-variants/variant_position/credible/roussos_2024/variant_figures/roussos_2024.childhood.Astrocyte/rs8007609_profile_position.png",4,220,900)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0.0317380162</v>
      </c>
      <c r="G1255" t="n">
        <v>0.3496199252984557</v>
      </c>
      <c r="H1255" t="n">
        <v>0.0080335360780973</v>
      </c>
      <c r="I1255" t="n">
        <v>0.8995323396607332</v>
      </c>
      <c r="J1255" t="n">
        <v>0.0005358246891529</v>
      </c>
      <c r="K1255" t="n">
        <v>0.9306774557815136</v>
      </c>
      <c r="L1255" t="b">
        <v>0</v>
      </c>
      <c r="M1255" t="b">
        <v>0</v>
      </c>
      <c r="N1255" t="inlineStr">
        <is>
          <t>alt</t>
        </is>
      </c>
      <c r="O1255" t="n">
        <v>55</v>
      </c>
      <c r="P1255" t="n">
        <v>0.145</v>
      </c>
      <c r="Q1255" t="n">
        <v>55</v>
      </c>
      <c r="R1255" t="n">
        <v>0.101</v>
      </c>
      <c r="S1255">
        <f>IMAGE("https://mitra.stanford.edu/kundaje/oak/projects/neuro-variants/variant_position/credible/roussos_2024/variant_figures/roussos_2024.childhood.Astrocyte/rs58026845_count_position.png",4,220,900)</f>
        <v/>
      </c>
      <c r="T1255">
        <f>IMAGE("https://mitra.stanford.edu/kundaje/oak/projects/neuro-variants/variant_position/credible/roussos_2024/variant_figures/roussos_2024.childhood.Astrocyte/rs58026845_profile_position.png",4,220,900)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-0.0520498099999999</v>
      </c>
      <c r="G1256" t="n">
        <v>0.2095508962126247</v>
      </c>
      <c r="H1256" t="n">
        <v>0.012188031757082</v>
      </c>
      <c r="I1256" t="n">
        <v>0.5028798746988327</v>
      </c>
      <c r="J1256" t="n">
        <v>0.0018990481860578</v>
      </c>
      <c r="K1256" t="n">
        <v>0.8832385099298194</v>
      </c>
      <c r="L1256" t="b">
        <v>0</v>
      </c>
      <c r="M1256" t="b">
        <v>0</v>
      </c>
      <c r="N1256" t="inlineStr">
        <is>
          <t>ref</t>
        </is>
      </c>
      <c r="O1256" t="n">
        <v>40</v>
      </c>
      <c r="P1256" t="n">
        <v>0.002853</v>
      </c>
      <c r="Q1256" t="n">
        <v>-35</v>
      </c>
      <c r="R1256" t="n">
        <v>0.052</v>
      </c>
      <c r="S1256">
        <f>IMAGE("https://mitra.stanford.edu/kundaje/oak/projects/neuro-variants/variant_position/credible/roussos_2024/variant_figures/roussos_2024.childhood.Astrocyte/rs8008665_count_position.png",4,220,900)</f>
        <v/>
      </c>
      <c r="T1256">
        <f>IMAGE("https://mitra.stanford.edu/kundaje/oak/projects/neuro-variants/variant_position/credible/roussos_2024/variant_figures/roussos_2024.childhood.Astrocyte/rs8008665_profile_position.png",4,220,900)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0.176994186</v>
      </c>
      <c r="G1257" t="n">
        <v>0.0253863537059546</v>
      </c>
      <c r="H1257" t="n">
        <v>0.0207289215098205</v>
      </c>
      <c r="I1257" t="n">
        <v>0.1316313989030215</v>
      </c>
      <c r="J1257" t="n">
        <v>0.1509056353186324</v>
      </c>
      <c r="K1257" t="n">
        <v>0.2756684511547455</v>
      </c>
      <c r="L1257" t="b">
        <v>0</v>
      </c>
      <c r="M1257" t="b">
        <v>0</v>
      </c>
      <c r="N1257" t="inlineStr">
        <is>
          <t>alt</t>
        </is>
      </c>
      <c r="O1257" t="n">
        <v>15</v>
      </c>
      <c r="P1257" t="n">
        <v>0.0009384</v>
      </c>
      <c r="Q1257" t="n">
        <v>35</v>
      </c>
      <c r="R1257" t="n">
        <v>0.06067</v>
      </c>
      <c r="S1257">
        <f>IMAGE("https://mitra.stanford.edu/kundaje/oak/projects/neuro-variants/variant_position/credible/roussos_2024/variant_figures/roussos_2024.childhood.Astrocyte/rs17101455_count_position.png",4,220,900)</f>
        <v/>
      </c>
      <c r="T1257">
        <f>IMAGE("https://mitra.stanford.edu/kundaje/oak/projects/neuro-variants/variant_position/credible/roussos_2024/variant_figures/roussos_2024.childhood.Astrocyte/rs17101455_profile_position.png",4,220,900)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-0.0150183436</v>
      </c>
      <c r="G1258" t="n">
        <v>0.624630073666857</v>
      </c>
      <c r="H1258" t="n">
        <v>0.0062313105118789</v>
      </c>
      <c r="I1258" t="n">
        <v>0.9864645079229112</v>
      </c>
      <c r="J1258" t="n">
        <v>0.6322174135391145</v>
      </c>
      <c r="K1258" t="n">
        <v>0.0277471442909748</v>
      </c>
      <c r="L1258" t="b">
        <v>0</v>
      </c>
      <c r="M1258" t="b">
        <v>0</v>
      </c>
      <c r="N1258" t="inlineStr">
        <is>
          <t>ref</t>
        </is>
      </c>
      <c r="O1258" t="n">
        <v>-50</v>
      </c>
      <c r="P1258" t="n">
        <v>0.01493</v>
      </c>
      <c r="Q1258" t="n">
        <v>-95</v>
      </c>
      <c r="R1258" t="n">
        <v>0.2422</v>
      </c>
      <c r="S1258">
        <f>IMAGE("https://mitra.stanford.edu/kundaje/oak/projects/neuro-variants/variant_position/credible/roussos_2024/variant_figures/roussos_2024.childhood.Astrocyte/rs7145682_count_position.png",4,220,900)</f>
        <v/>
      </c>
      <c r="T1258">
        <f>IMAGE("https://mitra.stanford.edu/kundaje/oak/projects/neuro-variants/variant_position/credible/roussos_2024/variant_figures/roussos_2024.childhood.Astrocyte/rs7145682_profile_position.png",4,220,900)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0.1239190539999999</v>
      </c>
      <c r="G1259" t="n">
        <v>0.0505612362944698</v>
      </c>
      <c r="H1259" t="n">
        <v>0.0171823661599444</v>
      </c>
      <c r="I1259" t="n">
        <v>0.2211557971722668</v>
      </c>
      <c r="J1259" t="n">
        <v>0.6415699205422363</v>
      </c>
      <c r="K1259" t="n">
        <v>0.026262604721626</v>
      </c>
      <c r="L1259" t="b">
        <v>0</v>
      </c>
      <c r="M1259" t="b">
        <v>0</v>
      </c>
      <c r="N1259" t="inlineStr">
        <is>
          <t>alt</t>
        </is>
      </c>
      <c r="O1259" t="n">
        <v>-60</v>
      </c>
      <c r="P1259" t="n">
        <v>0.01201</v>
      </c>
      <c r="Q1259" t="n">
        <v>-60</v>
      </c>
      <c r="R1259" t="n">
        <v>0.325</v>
      </c>
      <c r="S1259">
        <f>IMAGE("https://mitra.stanford.edu/kundaje/oak/projects/neuro-variants/variant_position/credible/roussos_2024/variant_figures/roussos_2024.childhood.Astrocyte/rs7150297_count_position.png",4,220,900)</f>
        <v/>
      </c>
      <c r="T1259">
        <f>IMAGE("https://mitra.stanford.edu/kundaje/oak/projects/neuro-variants/variant_position/credible/roussos_2024/variant_figures/roussos_2024.childhood.Astrocyte/rs7150297_profile_position.png",4,220,900)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-0.0278343763</v>
      </c>
      <c r="G1260" t="n">
        <v>0.3915663601705936</v>
      </c>
      <c r="H1260" t="n">
        <v>0.0118926837333329</v>
      </c>
      <c r="I1260" t="n">
        <v>0.5279066715076191</v>
      </c>
      <c r="J1260" t="n">
        <v>0.6199064215001564</v>
      </c>
      <c r="K1260" t="n">
        <v>0.0296793494525968</v>
      </c>
      <c r="L1260" t="b">
        <v>0</v>
      </c>
      <c r="M1260" t="b">
        <v>0</v>
      </c>
      <c r="N1260" t="inlineStr">
        <is>
          <t>ref</t>
        </is>
      </c>
      <c r="O1260" t="n">
        <v>55</v>
      </c>
      <c r="P1260" t="n">
        <v>0.002151</v>
      </c>
      <c r="Q1260" t="n">
        <v>-80</v>
      </c>
      <c r="R1260" t="n">
        <v>0.1181</v>
      </c>
      <c r="S1260">
        <f>IMAGE("https://mitra.stanford.edu/kundaje/oak/projects/neuro-variants/variant_position/credible/roussos_2024/variant_figures/roussos_2024.childhood.Astrocyte/rs72708820_count_position.png",4,220,900)</f>
        <v/>
      </c>
      <c r="T1260">
        <f>IMAGE("https://mitra.stanford.edu/kundaje/oak/projects/neuro-variants/variant_position/credible/roussos_2024/variant_figures/roussos_2024.childhood.Astrocyte/rs72708820_profile_position.png",4,220,900)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-0.072537036</v>
      </c>
      <c r="G1261" t="n">
        <v>0.1248241153386049</v>
      </c>
      <c r="H1261" t="n">
        <v>0.0120942305296667</v>
      </c>
      <c r="I1261" t="n">
        <v>0.508913169294724</v>
      </c>
      <c r="J1261" t="n">
        <v>0.0156984421393296</v>
      </c>
      <c r="K1261" t="n">
        <v>0.6599819151243379</v>
      </c>
      <c r="L1261" t="b">
        <v>0</v>
      </c>
      <c r="M1261" t="b">
        <v>0</v>
      </c>
      <c r="N1261" t="inlineStr">
        <is>
          <t>ref</t>
        </is>
      </c>
      <c r="O1261" t="n">
        <v>-100</v>
      </c>
      <c r="P1261" t="n">
        <v>0.00838</v>
      </c>
      <c r="Q1261" t="n">
        <v>-80</v>
      </c>
      <c r="R1261" t="n">
        <v>0.1718</v>
      </c>
      <c r="S1261">
        <f>IMAGE("https://mitra.stanford.edu/kundaje/oak/projects/neuro-variants/variant_position/credible/roussos_2024/variant_figures/roussos_2024.childhood.Astrocyte/rs11850831_count_position.png",4,220,900)</f>
        <v/>
      </c>
      <c r="T1261">
        <f>IMAGE("https://mitra.stanford.edu/kundaje/oak/projects/neuro-variants/variant_position/credible/roussos_2024/variant_figures/roussos_2024.childhood.Astrocyte/rs11850831_profile_position.png",4,220,900)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-0.0269117882</v>
      </c>
      <c r="G1262" t="n">
        <v>0.4006535914216628</v>
      </c>
      <c r="H1262" t="n">
        <v>0.0107046767628022</v>
      </c>
      <c r="I1262" t="n">
        <v>0.642506885715275</v>
      </c>
      <c r="J1262" t="n">
        <v>0.0126040927236227</v>
      </c>
      <c r="K1262" t="n">
        <v>0.6622269021136996</v>
      </c>
      <c r="L1262" t="b">
        <v>0</v>
      </c>
      <c r="M1262" t="b">
        <v>0</v>
      </c>
      <c r="N1262" t="inlineStr">
        <is>
          <t>ref</t>
        </is>
      </c>
      <c r="O1262" t="n">
        <v>-100</v>
      </c>
      <c r="P1262" t="n">
        <v>0.02017</v>
      </c>
      <c r="Q1262" t="n">
        <v>-45</v>
      </c>
      <c r="R1262" t="n">
        <v>0.1034</v>
      </c>
      <c r="S1262">
        <f>IMAGE("https://mitra.stanford.edu/kundaje/oak/projects/neuro-variants/variant_position/credible/roussos_2024/variant_figures/roussos_2024.childhood.Astrocyte/rs8007383_count_position.png",4,220,900)</f>
        <v/>
      </c>
      <c r="T1262">
        <f>IMAGE("https://mitra.stanford.edu/kundaje/oak/projects/neuro-variants/variant_position/credible/roussos_2024/variant_figures/roussos_2024.childhood.Astrocyte/rs8007383_profile_position.png",4,220,900)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-0.00379384598</v>
      </c>
      <c r="G1263" t="n">
        <v>0.4786463800563973</v>
      </c>
      <c r="H1263" t="n">
        <v>0.011562756030585</v>
      </c>
      <c r="I1263" t="n">
        <v>0.558168486451954</v>
      </c>
      <c r="J1263" t="n">
        <v>0.0552403196629341</v>
      </c>
      <c r="K1263" t="n">
        <v>0.4268000126442776</v>
      </c>
      <c r="L1263" t="b">
        <v>0</v>
      </c>
      <c r="M1263" t="b">
        <v>0</v>
      </c>
      <c r="N1263" t="inlineStr">
        <is>
          <t>ref</t>
        </is>
      </c>
      <c r="O1263" t="n">
        <v>-100</v>
      </c>
      <c r="P1263" t="n">
        <v>0.006866</v>
      </c>
      <c r="Q1263" t="n">
        <v>-55</v>
      </c>
      <c r="R1263" t="n">
        <v>0.08276</v>
      </c>
      <c r="S1263">
        <f>IMAGE("https://mitra.stanford.edu/kundaje/oak/projects/neuro-variants/variant_position/credible/roussos_2024/variant_figures/roussos_2024.childhood.Astrocyte/rs12432904_count_position.png",4,220,900)</f>
        <v/>
      </c>
      <c r="T1263">
        <f>IMAGE("https://mitra.stanford.edu/kundaje/oak/projects/neuro-variants/variant_position/credible/roussos_2024/variant_figures/roussos_2024.childhood.Astrocyte/rs12432904_profile_position.png",4,220,900)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-0.07302672339999999</v>
      </c>
      <c r="G1264" t="n">
        <v>0.1229151343647106</v>
      </c>
      <c r="H1264" t="n">
        <v>0.0147725205536281</v>
      </c>
      <c r="I1264" t="n">
        <v>0.3134799863320663</v>
      </c>
      <c r="J1264" t="n">
        <v>0.0462625846290062</v>
      </c>
      <c r="K1264" t="n">
        <v>0.4705516506972439</v>
      </c>
      <c r="L1264" t="b">
        <v>0</v>
      </c>
      <c r="M1264" t="b">
        <v>0</v>
      </c>
      <c r="N1264" t="inlineStr">
        <is>
          <t>ref</t>
        </is>
      </c>
      <c r="O1264" t="n">
        <v>-25</v>
      </c>
      <c r="P1264" t="n">
        <v>0.005135</v>
      </c>
      <c r="Q1264" t="n">
        <v>95</v>
      </c>
      <c r="R1264" t="n">
        <v>0.1461</v>
      </c>
      <c r="S1264">
        <f>IMAGE("https://mitra.stanford.edu/kundaje/oak/projects/neuro-variants/variant_position/credible/roussos_2024/variant_figures/roussos_2024.childhood.Astrocyte/rs12894729_count_position.png",4,220,900)</f>
        <v/>
      </c>
      <c r="T1264">
        <f>IMAGE("https://mitra.stanford.edu/kundaje/oak/projects/neuro-variants/variant_position/credible/roussos_2024/variant_figures/roussos_2024.childhood.Astrocyte/rs12894729_profile_position.png",4,220,900)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-0.01248507686</v>
      </c>
      <c r="G1265" t="n">
        <v>0.6299851270347648</v>
      </c>
      <c r="H1265" t="n">
        <v>0.0271729674347946</v>
      </c>
      <c r="I1265" t="n">
        <v>0.0431080121806392</v>
      </c>
      <c r="J1265" t="n">
        <v>0.0698968804622441</v>
      </c>
      <c r="K1265" t="n">
        <v>0.3900990590644781</v>
      </c>
      <c r="L1265" t="b">
        <v>0</v>
      </c>
      <c r="M1265" t="b">
        <v>0</v>
      </c>
      <c r="N1265" t="inlineStr">
        <is>
          <t>ref</t>
        </is>
      </c>
      <c r="O1265" t="n">
        <v>-20</v>
      </c>
      <c r="P1265" t="n">
        <v>0.0008125</v>
      </c>
      <c r="Q1265" t="n">
        <v>100</v>
      </c>
      <c r="R1265" t="n">
        <v>0.1768</v>
      </c>
      <c r="S1265">
        <f>IMAGE("https://mitra.stanford.edu/kundaje/oak/projects/neuro-variants/variant_position/credible/roussos_2024/variant_figures/roussos_2024.childhood.Astrocyte/rs10431750_count_position.png",4,220,900)</f>
        <v/>
      </c>
      <c r="T1265">
        <f>IMAGE("https://mitra.stanford.edu/kundaje/oak/projects/neuro-variants/variant_position/credible/roussos_2024/variant_figures/roussos_2024.childhood.Astrocyte/rs10431750_profile_position.png",4,220,900)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-0.002007736508</v>
      </c>
      <c r="G1266" t="n">
        <v>0.9053981058330148</v>
      </c>
      <c r="H1266" t="n">
        <v>0.0358479116068554</v>
      </c>
      <c r="I1266" t="n">
        <v>0.0152581333880383</v>
      </c>
      <c r="J1266" t="n">
        <v>0.0072634013418515</v>
      </c>
      <c r="K1266" t="n">
        <v>0.7492913205463922</v>
      </c>
      <c r="L1266" t="b">
        <v>0</v>
      </c>
      <c r="M1266" t="b">
        <v>0</v>
      </c>
      <c r="N1266" t="inlineStr">
        <is>
          <t>ref</t>
        </is>
      </c>
      <c r="O1266" t="n">
        <v>100</v>
      </c>
      <c r="P1266" t="n">
        <v>0.003296</v>
      </c>
      <c r="Q1266" t="n">
        <v>10</v>
      </c>
      <c r="R1266" t="n">
        <v>0.01642</v>
      </c>
      <c r="S1266">
        <f>IMAGE("https://mitra.stanford.edu/kundaje/oak/projects/neuro-variants/variant_position/credible/roussos_2024/variant_figures/roussos_2024.childhood.Astrocyte/rs71417868_count_position.png",4,220,900)</f>
        <v/>
      </c>
      <c r="T1266">
        <f>IMAGE("https://mitra.stanford.edu/kundaje/oak/projects/neuro-variants/variant_position/credible/roussos_2024/variant_figures/roussos_2024.childhood.Astrocyte/rs71417868_profile_position.png",4,220,900)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-0.0247370182</v>
      </c>
      <c r="G1267" t="n">
        <v>0.4584090520189461</v>
      </c>
      <c r="H1267" t="n">
        <v>0.0091284467998186</v>
      </c>
      <c r="I1267" t="n">
        <v>0.8030845811485342</v>
      </c>
      <c r="J1267" t="n">
        <v>0.0461366429285642</v>
      </c>
      <c r="K1267" t="n">
        <v>0.4590235056403104</v>
      </c>
      <c r="L1267" t="b">
        <v>0</v>
      </c>
      <c r="M1267" t="b">
        <v>0</v>
      </c>
      <c r="N1267" t="inlineStr">
        <is>
          <t>ref</t>
        </is>
      </c>
      <c r="O1267" t="n">
        <v>-70</v>
      </c>
      <c r="P1267" t="n">
        <v>0.02545</v>
      </c>
      <c r="Q1267" t="n">
        <v>-85</v>
      </c>
      <c r="R1267" t="n">
        <v>0.06104</v>
      </c>
      <c r="S1267">
        <f>IMAGE("https://mitra.stanford.edu/kundaje/oak/projects/neuro-variants/variant_position/credible/roussos_2024/variant_figures/roussos_2024.childhood.Astrocyte/rs67899457_count_position.png",4,220,900)</f>
        <v/>
      </c>
      <c r="T1267">
        <f>IMAGE("https://mitra.stanford.edu/kundaje/oak/projects/neuro-variants/variant_position/credible/roussos_2024/variant_figures/roussos_2024.childhood.Astrocyte/rs67899457_profile_position.png",4,220,900)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0.0296384146</v>
      </c>
      <c r="G1268" t="n">
        <v>0.3717358780363624</v>
      </c>
      <c r="H1268" t="n">
        <v>0.0185408552522466</v>
      </c>
      <c r="I1268" t="n">
        <v>0.1588676289823263</v>
      </c>
      <c r="J1268" t="n">
        <v>0.884932792928946</v>
      </c>
      <c r="K1268" t="n">
        <v>0.002202219736422</v>
      </c>
      <c r="L1268" t="b">
        <v>0</v>
      </c>
      <c r="M1268" t="b">
        <v>0</v>
      </c>
      <c r="N1268" t="inlineStr">
        <is>
          <t>alt</t>
        </is>
      </c>
      <c r="O1268" t="n">
        <v>-100</v>
      </c>
      <c r="P1268" t="n">
        <v>0.0476</v>
      </c>
      <c r="Q1268" t="n">
        <v>-100</v>
      </c>
      <c r="R1268" t="n">
        <v>0.5273</v>
      </c>
      <c r="S1268">
        <f>IMAGE("https://mitra.stanford.edu/kundaje/oak/projects/neuro-variants/variant_position/credible/roussos_2024/variant_figures/roussos_2024.childhood.Astrocyte/rs56168984_count_position.png",4,220,900)</f>
        <v/>
      </c>
      <c r="T1268">
        <f>IMAGE("https://mitra.stanford.edu/kundaje/oak/projects/neuro-variants/variant_position/credible/roussos_2024/variant_figures/roussos_2024.childhood.Astrocyte/rs56168984_profile_position.png",4,220,900)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0.0212233594</v>
      </c>
      <c r="G1269" t="n">
        <v>0.5077228066753445</v>
      </c>
      <c r="H1269" t="n">
        <v>0.0148618013338991</v>
      </c>
      <c r="I1269" t="n">
        <v>0.3025161839145759</v>
      </c>
      <c r="J1269" t="n">
        <v>0.0110431789211757</v>
      </c>
      <c r="K1269" t="n">
        <v>0.6731298835611672</v>
      </c>
      <c r="L1269" t="b">
        <v>0</v>
      </c>
      <c r="M1269" t="b">
        <v>0</v>
      </c>
      <c r="N1269" t="inlineStr">
        <is>
          <t>alt</t>
        </is>
      </c>
      <c r="O1269" t="n">
        <v>-40</v>
      </c>
      <c r="P1269" t="n">
        <v>0.002335</v>
      </c>
      <c r="Q1269" t="n">
        <v>95</v>
      </c>
      <c r="R1269" t="n">
        <v>0.1616</v>
      </c>
      <c r="S1269">
        <f>IMAGE("https://mitra.stanford.edu/kundaje/oak/projects/neuro-variants/variant_position/credible/roussos_2024/variant_figures/roussos_2024.childhood.Astrocyte/rs12878682_count_position.png",4,220,900)</f>
        <v/>
      </c>
      <c r="T1269">
        <f>IMAGE("https://mitra.stanford.edu/kundaje/oak/projects/neuro-variants/variant_position/credible/roussos_2024/variant_figures/roussos_2024.childhood.Astrocyte/rs12878682_profile_position.png",4,220,900)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0.0724379406</v>
      </c>
      <c r="G1270" t="n">
        <v>0.1242818888080906</v>
      </c>
      <c r="H1270" t="n">
        <v>0.0186985657146757</v>
      </c>
      <c r="I1270" t="n">
        <v>0.1599362263532309</v>
      </c>
      <c r="J1270" t="n">
        <v>0.0034408799126803</v>
      </c>
      <c r="K1270" t="n">
        <v>0.8286175904653734</v>
      </c>
      <c r="L1270" t="b">
        <v>0</v>
      </c>
      <c r="M1270" t="b">
        <v>0</v>
      </c>
      <c r="N1270" t="inlineStr">
        <is>
          <t>alt</t>
        </is>
      </c>
      <c r="O1270" t="n">
        <v>-20</v>
      </c>
      <c r="P1270" t="n">
        <v>0.002563</v>
      </c>
      <c r="Q1270" t="n">
        <v>70</v>
      </c>
      <c r="R1270" t="n">
        <v>0.0951</v>
      </c>
      <c r="S1270">
        <f>IMAGE("https://mitra.stanford.edu/kundaje/oak/projects/neuro-variants/variant_position/credible/roussos_2024/variant_figures/roussos_2024.childhood.Astrocyte/rs12888002_count_position.png",4,220,900)</f>
        <v/>
      </c>
      <c r="T1270">
        <f>IMAGE("https://mitra.stanford.edu/kundaje/oak/projects/neuro-variants/variant_position/credible/roussos_2024/variant_figures/roussos_2024.childhood.Astrocyte/rs12888002_profile_position.png",4,220,900)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0.0198433224</v>
      </c>
      <c r="G1271" t="n">
        <v>0.4778769604901502</v>
      </c>
      <c r="H1271" t="n">
        <v>0.0130828743046706</v>
      </c>
      <c r="I1271" t="n">
        <v>0.4196552718995964</v>
      </c>
      <c r="J1271" t="n">
        <v>0.009533405081938401</v>
      </c>
      <c r="K1271" t="n">
        <v>0.7009428817628977</v>
      </c>
      <c r="L1271" t="b">
        <v>0</v>
      </c>
      <c r="M1271" t="b">
        <v>0</v>
      </c>
      <c r="N1271" t="inlineStr">
        <is>
          <t>alt</t>
        </is>
      </c>
      <c r="O1271" t="n">
        <v>-100</v>
      </c>
      <c r="P1271" t="n">
        <v>0.007324</v>
      </c>
      <c r="Q1271" t="n">
        <v>-85</v>
      </c>
      <c r="R1271" t="n">
        <v>0.10803</v>
      </c>
      <c r="S1271">
        <f>IMAGE("https://mitra.stanford.edu/kundaje/oak/projects/neuro-variants/variant_position/credible/roussos_2024/variant_figures/roussos_2024.childhood.Astrocyte/rs66509671_count_position.png",4,220,900)</f>
        <v/>
      </c>
      <c r="T1271">
        <f>IMAGE("https://mitra.stanford.edu/kundaje/oak/projects/neuro-variants/variant_position/credible/roussos_2024/variant_figures/roussos_2024.childhood.Astrocyte/rs66509671_profile_position.png",4,220,900)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0.0039577677999999</v>
      </c>
      <c r="G1272" t="n">
        <v>0.1546137880829331</v>
      </c>
      <c r="H1272" t="n">
        <v>0.0276276554368589</v>
      </c>
      <c r="I1272" t="n">
        <v>0.0530773307679286</v>
      </c>
      <c r="J1272" t="n">
        <v>0.0131368642806438</v>
      </c>
      <c r="K1272" t="n">
        <v>0.6631646664465289</v>
      </c>
      <c r="L1272" t="b">
        <v>0</v>
      </c>
      <c r="M1272" t="b">
        <v>0</v>
      </c>
      <c r="N1272" t="inlineStr">
        <is>
          <t>alt</t>
        </is>
      </c>
      <c r="O1272" t="n">
        <v>65</v>
      </c>
      <c r="P1272" t="n">
        <v>0.002655</v>
      </c>
      <c r="Q1272" t="n">
        <v>15</v>
      </c>
      <c r="R1272" t="n">
        <v>0.02269</v>
      </c>
      <c r="S1272">
        <f>IMAGE("https://mitra.stanford.edu/kundaje/oak/projects/neuro-variants/variant_position/credible/roussos_2024/variant_figures/roussos_2024.childhood.Astrocyte/rs11160762_count_position.png",4,220,900)</f>
        <v/>
      </c>
      <c r="T1272">
        <f>IMAGE("https://mitra.stanford.edu/kundaje/oak/projects/neuro-variants/variant_position/credible/roussos_2024/variant_figures/roussos_2024.childhood.Astrocyte/rs11160762_profile_position.png",4,220,900)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0.0490407162</v>
      </c>
      <c r="G1273" t="n">
        <v>0.2175996657149181</v>
      </c>
      <c r="H1273" t="n">
        <v>0.0085989434980822</v>
      </c>
      <c r="I1273" t="n">
        <v>0.8551595068649449</v>
      </c>
      <c r="J1273" t="n">
        <v>0.0048361612969705</v>
      </c>
      <c r="K1273" t="n">
        <v>0.7823319629242603</v>
      </c>
      <c r="L1273" t="b">
        <v>0</v>
      </c>
      <c r="M1273" t="b">
        <v>0</v>
      </c>
      <c r="N1273" t="inlineStr">
        <is>
          <t>alt</t>
        </is>
      </c>
      <c r="O1273" t="n">
        <v>-35</v>
      </c>
      <c r="P1273" t="n">
        <v>0.003532</v>
      </c>
      <c r="Q1273" t="n">
        <v>-100</v>
      </c>
      <c r="R1273" t="n">
        <v>0.1532</v>
      </c>
      <c r="S1273">
        <f>IMAGE("https://mitra.stanford.edu/kundaje/oak/projects/neuro-variants/variant_position/credible/roussos_2024/variant_figures/roussos_2024.childhood.Astrocyte/rs12883337_count_position.png",4,220,900)</f>
        <v/>
      </c>
      <c r="T1273">
        <f>IMAGE("https://mitra.stanford.edu/kundaje/oak/projects/neuro-variants/variant_position/credible/roussos_2024/variant_figures/roussos_2024.childhood.Astrocyte/rs12883337_profile_position.png",4,220,900)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0.0218713406</v>
      </c>
      <c r="G1274" t="n">
        <v>0.484553959113383</v>
      </c>
      <c r="H1274" t="n">
        <v>0.0108578299042571</v>
      </c>
      <c r="I1274" t="n">
        <v>0.6118667625958463</v>
      </c>
      <c r="J1274" t="n">
        <v>0.0005808583880988</v>
      </c>
      <c r="K1274" t="n">
        <v>0.9311622871200284</v>
      </c>
      <c r="L1274" t="b">
        <v>0</v>
      </c>
      <c r="M1274" t="b">
        <v>0</v>
      </c>
      <c r="N1274" t="inlineStr">
        <is>
          <t>alt</t>
        </is>
      </c>
      <c r="O1274" t="n">
        <v>-30</v>
      </c>
      <c r="P1274" t="n">
        <v>0.01631</v>
      </c>
      <c r="Q1274" t="n">
        <v>100</v>
      </c>
      <c r="R1274" t="n">
        <v>0.0813</v>
      </c>
      <c r="S1274">
        <f>IMAGE("https://mitra.stanford.edu/kundaje/oak/projects/neuro-variants/variant_position/credible/roussos_2024/variant_figures/roussos_2024.childhood.Astrocyte/rs66676135_count_position.png",4,220,900)</f>
        <v/>
      </c>
      <c r="T1274">
        <f>IMAGE("https://mitra.stanford.edu/kundaje/oak/projects/neuro-variants/variant_position/credible/roussos_2024/variant_figures/roussos_2024.childhood.Astrocyte/rs66676135_profile_position.png",4,220,900)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0.2155042839999999</v>
      </c>
      <c r="G1275" t="n">
        <v>0.0134625706146079</v>
      </c>
      <c r="H1275" t="n">
        <v>0.0247472922045665</v>
      </c>
      <c r="I1275" t="n">
        <v>0.0609992157629576</v>
      </c>
      <c r="J1275" t="n">
        <v>0.7050384313007106</v>
      </c>
      <c r="K1275" t="n">
        <v>0.0178523242794096</v>
      </c>
      <c r="L1275" t="b">
        <v>1</v>
      </c>
      <c r="M1275" t="b">
        <v>0</v>
      </c>
      <c r="N1275" t="inlineStr">
        <is>
          <t>alt</t>
        </is>
      </c>
      <c r="O1275" t="n">
        <v>65</v>
      </c>
      <c r="P1275" t="n">
        <v>0.002865</v>
      </c>
      <c r="Q1275" t="n">
        <v>30</v>
      </c>
      <c r="R1275" t="n">
        <v>0.0542</v>
      </c>
      <c r="S1275">
        <f>IMAGE("https://mitra.stanford.edu/kundaje/oak/projects/neuro-variants/variant_position/credible/roussos_2024/variant_figures/roussos_2024.childhood.Astrocyte/rs3861678_count_position.png",4,220,900)</f>
        <v/>
      </c>
      <c r="T1275">
        <f>IMAGE("https://mitra.stanford.edu/kundaje/oak/projects/neuro-variants/variant_position/credible/roussos_2024/variant_figures/roussos_2024.childhood.Astrocyte/rs3861678_profile_position.png",4,220,900)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-0.057207093</v>
      </c>
      <c r="G1276" t="n">
        <v>0.1908937570812928</v>
      </c>
      <c r="H1276" t="n">
        <v>0.0148826163277443</v>
      </c>
      <c r="I1276" t="n">
        <v>0.2949154961808916</v>
      </c>
      <c r="J1276" t="n">
        <v>0.0514834405745994</v>
      </c>
      <c r="K1276" t="n">
        <v>0.4581446027876091</v>
      </c>
      <c r="L1276" t="b">
        <v>0</v>
      </c>
      <c r="M1276" t="b">
        <v>0</v>
      </c>
      <c r="N1276" t="inlineStr">
        <is>
          <t>ref</t>
        </is>
      </c>
      <c r="O1276" t="n">
        <v>25</v>
      </c>
      <c r="P1276" t="n">
        <v>0.0005417</v>
      </c>
      <c r="Q1276" t="n">
        <v>-45</v>
      </c>
      <c r="R1276" t="n">
        <v>0.07290000000000001</v>
      </c>
      <c r="S1276">
        <f>IMAGE("https://mitra.stanford.edu/kundaje/oak/projects/neuro-variants/variant_position/credible/roussos_2024/variant_figures/roussos_2024.childhood.Astrocyte/rs6576007_count_position.png",4,220,900)</f>
        <v/>
      </c>
      <c r="T1276">
        <f>IMAGE("https://mitra.stanford.edu/kundaje/oak/projects/neuro-variants/variant_position/credible/roussos_2024/variant_figures/roussos_2024.childhood.Astrocyte/rs6576007_profile_position.png",4,220,900)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0.012393325878</v>
      </c>
      <c r="G1277" t="n">
        <v>0.6617495831046503</v>
      </c>
      <c r="H1277" t="n">
        <v>0.0108505759268192</v>
      </c>
      <c r="I1277" t="n">
        <v>0.6232518342213667</v>
      </c>
      <c r="J1277" t="n">
        <v>0.3345782479601261</v>
      </c>
      <c r="K1277" t="n">
        <v>0.1151713002016672</v>
      </c>
      <c r="L1277" t="b">
        <v>0</v>
      </c>
      <c r="M1277" t="b">
        <v>0</v>
      </c>
      <c r="N1277" t="inlineStr">
        <is>
          <t>alt</t>
        </is>
      </c>
      <c r="O1277" t="n">
        <v>-100</v>
      </c>
      <c r="P1277" t="n">
        <v>0.01063</v>
      </c>
      <c r="Q1277" t="n">
        <v>-100</v>
      </c>
      <c r="R1277" t="n">
        <v>0.1345</v>
      </c>
      <c r="S1277">
        <f>IMAGE("https://mitra.stanford.edu/kundaje/oak/projects/neuro-variants/variant_position/credible/roussos_2024/variant_figures/roussos_2024.childhood.Astrocyte/rs4984237_count_position.png",4,220,900)</f>
        <v/>
      </c>
      <c r="T1277">
        <f>IMAGE("https://mitra.stanford.edu/kundaje/oak/projects/neuro-variants/variant_position/credible/roussos_2024/variant_figures/roussos_2024.childhood.Astrocyte/rs4984237_profile_position.png",4,220,900)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0.261906342</v>
      </c>
      <c r="G1278" t="n">
        <v>0.009723135831853301</v>
      </c>
      <c r="H1278" t="n">
        <v>0.0382294155266123</v>
      </c>
      <c r="I1278" t="n">
        <v>0.0117489568472786</v>
      </c>
      <c r="J1278" t="n">
        <v>0.9852686374634578</v>
      </c>
      <c r="K1278" t="n">
        <v>1.205700526169229e-05</v>
      </c>
      <c r="L1278" t="b">
        <v>1</v>
      </c>
      <c r="M1278" t="b">
        <v>1</v>
      </c>
      <c r="N1278" t="inlineStr">
        <is>
          <t>alt</t>
        </is>
      </c>
      <c r="O1278" t="n">
        <v>-35</v>
      </c>
      <c r="P1278" t="n">
        <v>0.00525</v>
      </c>
      <c r="Q1278" t="n">
        <v>-5</v>
      </c>
      <c r="R1278" t="n">
        <v>0.012695</v>
      </c>
      <c r="S1278">
        <f>IMAGE("https://mitra.stanford.edu/kundaje/oak/projects/neuro-variants/variant_position/credible/roussos_2024/variant_figures/roussos_2024.childhood.Astrocyte/rs117799466_count_position.png",4,220,900)</f>
        <v/>
      </c>
      <c r="T1278">
        <f>IMAGE("https://mitra.stanford.edu/kundaje/oak/projects/neuro-variants/variant_position/credible/roussos_2024/variant_figures/roussos_2024.childhood.Astrocyte/rs117799466_profile_position.png",4,220,900)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0.01847854674</v>
      </c>
      <c r="G1279" t="n">
        <v>0.5413264312525329</v>
      </c>
      <c r="H1279" t="n">
        <v>0.0098641257846498</v>
      </c>
      <c r="I1279" t="n">
        <v>0.725667284342113</v>
      </c>
      <c r="J1279" t="n">
        <v>0.0043820078923465</v>
      </c>
      <c r="K1279" t="n">
        <v>0.800723617188509</v>
      </c>
      <c r="L1279" t="b">
        <v>0</v>
      </c>
      <c r="M1279" t="b">
        <v>0</v>
      </c>
      <c r="N1279" t="inlineStr">
        <is>
          <t>alt</t>
        </is>
      </c>
      <c r="O1279" t="n">
        <v>-75</v>
      </c>
      <c r="P1279" t="n">
        <v>0.02365</v>
      </c>
      <c r="Q1279" t="n">
        <v>-90</v>
      </c>
      <c r="R1279" t="n">
        <v>0.0733</v>
      </c>
      <c r="S1279">
        <f>IMAGE("https://mitra.stanford.edu/kundaje/oak/projects/neuro-variants/variant_position/credible/roussos_2024/variant_figures/roussos_2024.childhood.Astrocyte/rs11070264_count_position.png",4,220,900)</f>
        <v/>
      </c>
      <c r="T1279">
        <f>IMAGE("https://mitra.stanford.edu/kundaje/oak/projects/neuro-variants/variant_position/credible/roussos_2024/variant_figures/roussos_2024.childhood.Astrocyte/rs11070264_profile_position.png",4,220,900)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0.04144103706</v>
      </c>
      <c r="G1280" t="n">
        <v>0.2657085367695874</v>
      </c>
      <c r="H1280" t="n">
        <v>0.0132042351237437</v>
      </c>
      <c r="I1280" t="n">
        <v>0.4132119335981619</v>
      </c>
      <c r="J1280" t="n">
        <v>0.759078870035798</v>
      </c>
      <c r="K1280" t="n">
        <v>0.0120023191543956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0.02032</v>
      </c>
      <c r="Q1280" t="n">
        <v>-95</v>
      </c>
      <c r="R1280" t="n">
        <v>0.05878</v>
      </c>
      <c r="S1280">
        <f>IMAGE("https://mitra.stanford.edu/kundaje/oak/projects/neuro-variants/variant_position/credible/roussos_2024/variant_figures/roussos_2024.childhood.Astrocyte/rs2289334_count_position.png",4,220,900)</f>
        <v/>
      </c>
      <c r="T1280">
        <f>IMAGE("https://mitra.stanford.edu/kundaje/oak/projects/neuro-variants/variant_position/credible/roussos_2024/variant_figures/roussos_2024.childhood.Astrocyte/rs2289334_profile_position.png",4,220,900)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0.05033682986</v>
      </c>
      <c r="G1281" t="n">
        <v>0.201455756469953</v>
      </c>
      <c r="H1281" t="n">
        <v>0.0133837555997831</v>
      </c>
      <c r="I1281" t="n">
        <v>0.39886268968871</v>
      </c>
      <c r="J1281" t="n">
        <v>0.2347102959248318</v>
      </c>
      <c r="K1281" t="n">
        <v>0.1759962692389211</v>
      </c>
      <c r="L1281" t="b">
        <v>0</v>
      </c>
      <c r="M1281" t="b">
        <v>0</v>
      </c>
      <c r="N1281" t="inlineStr">
        <is>
          <t>alt</t>
        </is>
      </c>
      <c r="O1281" t="n">
        <v>-50</v>
      </c>
      <c r="P1281" t="n">
        <v>0.000679</v>
      </c>
      <c r="Q1281" t="n">
        <v>100</v>
      </c>
      <c r="R1281" t="n">
        <v>0.1919</v>
      </c>
      <c r="S1281">
        <f>IMAGE("https://mitra.stanford.edu/kundaje/oak/projects/neuro-variants/variant_position/credible/roussos_2024/variant_figures/roussos_2024.childhood.Astrocyte/rs1077476_count_position.png",4,220,900)</f>
        <v/>
      </c>
      <c r="T1281">
        <f>IMAGE("https://mitra.stanford.edu/kundaje/oak/projects/neuro-variants/variant_position/credible/roussos_2024/variant_figures/roussos_2024.childhood.Astrocyte/rs1077476_profile_position.png",4,220,900)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-0.0189931644</v>
      </c>
      <c r="G1282" t="n">
        <v>0.5643846200485284</v>
      </c>
      <c r="H1282" t="n">
        <v>0.03421879849491</v>
      </c>
      <c r="I1282" t="n">
        <v>0.0179695537649826</v>
      </c>
      <c r="J1282" t="n">
        <v>0.0052750490409348</v>
      </c>
      <c r="K1282" t="n">
        <v>0.7879429324521423</v>
      </c>
      <c r="L1282" t="b">
        <v>0</v>
      </c>
      <c r="M1282" t="b">
        <v>0</v>
      </c>
      <c r="N1282" t="inlineStr">
        <is>
          <t>ref</t>
        </is>
      </c>
      <c r="O1282" t="n">
        <v>95</v>
      </c>
      <c r="P1282" t="n">
        <v>0.0095</v>
      </c>
      <c r="Q1282" t="n">
        <v>-65</v>
      </c>
      <c r="R1282" t="n">
        <v>0.1425</v>
      </c>
      <c r="S1282">
        <f>IMAGE("https://mitra.stanford.edu/kundaje/oak/projects/neuro-variants/variant_position/credible/roussos_2024/variant_figures/roussos_2024.childhood.Astrocyte/rs2467742_count_position.png",4,220,900)</f>
        <v/>
      </c>
      <c r="T1282">
        <f>IMAGE("https://mitra.stanford.edu/kundaje/oak/projects/neuro-variants/variant_position/credible/roussos_2024/variant_figures/roussos_2024.childhood.Astrocyte/rs2467742_profile_position.png",4,220,900)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-0.000125877112</v>
      </c>
      <c r="G1283" t="n">
        <v>0.9209856787315804</v>
      </c>
      <c r="H1283" t="n">
        <v>0.0417094030777668</v>
      </c>
      <c r="I1283" t="n">
        <v>0.008170107093611699</v>
      </c>
      <c r="J1283" t="n">
        <v>0.0005297184248889999</v>
      </c>
      <c r="K1283" t="n">
        <v>0.9339869582093258</v>
      </c>
      <c r="L1283" t="b">
        <v>0</v>
      </c>
      <c r="M1283" t="b">
        <v>0</v>
      </c>
      <c r="N1283" t="inlineStr">
        <is>
          <t>ref</t>
        </is>
      </c>
      <c r="O1283" t="n">
        <v>-80</v>
      </c>
      <c r="P1283" t="n">
        <v>0.007256</v>
      </c>
      <c r="Q1283" t="n">
        <v>-100</v>
      </c>
      <c r="R1283" t="n">
        <v>0.09753000000000001</v>
      </c>
      <c r="S1283">
        <f>IMAGE("https://mitra.stanford.edu/kundaje/oak/projects/neuro-variants/variant_position/credible/roussos_2024/variant_figures/roussos_2024.childhood.Astrocyte/rs518288_count_position.png",4,220,900)</f>
        <v/>
      </c>
      <c r="T1283">
        <f>IMAGE("https://mitra.stanford.edu/kundaje/oak/projects/neuro-variants/variant_position/credible/roussos_2024/variant_figures/roussos_2024.childhood.Astrocyte/rs518288_profile_position.png",4,220,900)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-0.0249215514</v>
      </c>
      <c r="G1284" t="n">
        <v>0.4600498928430859</v>
      </c>
      <c r="H1284" t="n">
        <v>0.0126752079049627</v>
      </c>
      <c r="I1284" t="n">
        <v>0.4627384909913484</v>
      </c>
      <c r="J1284" t="n">
        <v>0.3958332379229542</v>
      </c>
      <c r="K1284" t="n">
        <v>0.0870108870539899</v>
      </c>
      <c r="L1284" t="b">
        <v>0</v>
      </c>
      <c r="M1284" t="b">
        <v>0</v>
      </c>
      <c r="N1284" t="inlineStr">
        <is>
          <t>ref</t>
        </is>
      </c>
      <c r="O1284" t="n">
        <v>-100</v>
      </c>
      <c r="P1284" t="n">
        <v>0.06055</v>
      </c>
      <c r="Q1284" t="n">
        <v>-100</v>
      </c>
      <c r="R1284" t="n">
        <v>0.6006</v>
      </c>
      <c r="S1284">
        <f>IMAGE("https://mitra.stanford.edu/kundaje/oak/projects/neuro-variants/variant_position/credible/roussos_2024/variant_figures/roussos_2024.childhood.Astrocyte/rs572837_count_position.png",4,220,900)</f>
        <v/>
      </c>
      <c r="T1284">
        <f>IMAGE("https://mitra.stanford.edu/kundaje/oak/projects/neuro-variants/variant_position/credible/roussos_2024/variant_figures/roussos_2024.childhood.Astrocyte/rs572837_profile_position.png",4,220,900)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-0.0630671812</v>
      </c>
      <c r="G1285" t="n">
        <v>0.1638179724575785</v>
      </c>
      <c r="H1285" t="n">
        <v>0.0180481617715121</v>
      </c>
      <c r="I1285" t="n">
        <v>0.1867012480396819</v>
      </c>
      <c r="J1285" t="n">
        <v>0.0006335249173745</v>
      </c>
      <c r="K1285" t="n">
        <v>0.9316460598054856</v>
      </c>
      <c r="L1285" t="b">
        <v>0</v>
      </c>
      <c r="M1285" t="b">
        <v>0</v>
      </c>
      <c r="N1285" t="inlineStr">
        <is>
          <t>ref</t>
        </is>
      </c>
      <c r="O1285" t="n">
        <v>95</v>
      </c>
      <c r="P1285" t="n">
        <v>0.002407</v>
      </c>
      <c r="Q1285" t="n">
        <v>-85</v>
      </c>
      <c r="R1285" t="n">
        <v>0.0757</v>
      </c>
      <c r="S1285">
        <f>IMAGE("https://mitra.stanford.edu/kundaje/oak/projects/neuro-variants/variant_position/credible/roussos_2024/variant_figures/roussos_2024.childhood.Astrocyte/rs2255663_count_position.png",4,220,900)</f>
        <v/>
      </c>
      <c r="T1285">
        <f>IMAGE("https://mitra.stanford.edu/kundaje/oak/projects/neuro-variants/variant_position/credible/roussos_2024/variant_figures/roussos_2024.childhood.Astrocyte/rs2255663_profile_position.png",4,220,900)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-0.0241113496</v>
      </c>
      <c r="G1286" t="n">
        <v>0.4719479933804254</v>
      </c>
      <c r="H1286" t="n">
        <v>0.0292856973032445</v>
      </c>
      <c r="I1286" t="n">
        <v>0.0329174060331734</v>
      </c>
      <c r="J1286" t="n">
        <v>0.0327127842275193</v>
      </c>
      <c r="K1286" t="n">
        <v>0.5267134590876595</v>
      </c>
      <c r="L1286" t="b">
        <v>0</v>
      </c>
      <c r="M1286" t="b">
        <v>0</v>
      </c>
      <c r="N1286" t="inlineStr">
        <is>
          <t>ref</t>
        </is>
      </c>
      <c r="O1286" t="n">
        <v>-90</v>
      </c>
      <c r="P1286" t="n">
        <v>0.00604</v>
      </c>
      <c r="Q1286" t="n">
        <v>-10</v>
      </c>
      <c r="R1286" t="n">
        <v>0.01288</v>
      </c>
      <c r="S1286">
        <f>IMAGE("https://mitra.stanford.edu/kundaje/oak/projects/neuro-variants/variant_position/credible/roussos_2024/variant_figures/roussos_2024.childhood.Astrocyte/rs7169112_count_position.png",4,220,900)</f>
        <v/>
      </c>
      <c r="T1286">
        <f>IMAGE("https://mitra.stanford.edu/kundaje/oak/projects/neuro-variants/variant_position/credible/roussos_2024/variant_figures/roussos_2024.childhood.Astrocyte/rs7169112_profile_position.png",4,220,900)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-0.018162042766</v>
      </c>
      <c r="G1287" t="n">
        <v>0.5885012232858378</v>
      </c>
      <c r="H1287" t="n">
        <v>0.0578957015894752</v>
      </c>
      <c r="I1287" t="n">
        <v>0.0024564634208015</v>
      </c>
      <c r="J1287" t="n">
        <v>0.0019104974315525</v>
      </c>
      <c r="K1287" t="n">
        <v>0.8576016096988295</v>
      </c>
      <c r="L1287" t="b">
        <v>0</v>
      </c>
      <c r="M1287" t="b">
        <v>0</v>
      </c>
      <c r="N1287" t="inlineStr">
        <is>
          <t>ref</t>
        </is>
      </c>
      <c r="O1287" t="n">
        <v>100</v>
      </c>
      <c r="P1287" t="n">
        <v>0.01672</v>
      </c>
      <c r="Q1287" t="n">
        <v>100</v>
      </c>
      <c r="R1287" t="n">
        <v>0.1656</v>
      </c>
      <c r="S1287">
        <f>IMAGE("https://mitra.stanford.edu/kundaje/oak/projects/neuro-variants/variant_position/credible/roussos_2024/variant_figures/roussos_2024.childhood.Astrocyte/rs8033846_count_position.png",4,220,900)</f>
        <v/>
      </c>
      <c r="T1287">
        <f>IMAGE("https://mitra.stanford.edu/kundaje/oak/projects/neuro-variants/variant_position/credible/roussos_2024/variant_figures/roussos_2024.childhood.Astrocyte/rs8033846_profile_position.png",4,220,900)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0.017494816</v>
      </c>
      <c r="G1288" t="n">
        <v>0.371227336365514</v>
      </c>
      <c r="H1288" t="n">
        <v>0.0265937363372566</v>
      </c>
      <c r="I1288" t="n">
        <v>0.0475181517587216</v>
      </c>
      <c r="J1288" t="n">
        <v>0.9559662018272996</v>
      </c>
      <c r="K1288" t="n">
        <v>0.0002100758623292</v>
      </c>
      <c r="L1288" t="b">
        <v>0</v>
      </c>
      <c r="M1288" t="b">
        <v>0</v>
      </c>
      <c r="N1288" t="inlineStr">
        <is>
          <t>alt</t>
        </is>
      </c>
      <c r="O1288" t="n">
        <v>100</v>
      </c>
      <c r="P1288" t="n">
        <v>0.01831</v>
      </c>
      <c r="Q1288" t="n">
        <v>0</v>
      </c>
      <c r="R1288" t="n">
        <v>0</v>
      </c>
      <c r="S1288">
        <f>IMAGE("https://mitra.stanford.edu/kundaje/oak/projects/neuro-variants/variant_position/credible/roussos_2024/variant_figures/roussos_2024.childhood.Astrocyte/rs7174732_count_position.png",4,220,900)</f>
        <v/>
      </c>
      <c r="T1288">
        <f>IMAGE("https://mitra.stanford.edu/kundaje/oak/projects/neuro-variants/variant_position/credible/roussos_2024/variant_figures/roussos_2024.childhood.Astrocyte/rs7174732_profile_position.png",4,220,900)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0.0206070594</v>
      </c>
      <c r="G1289" t="n">
        <v>0.3336270942290057</v>
      </c>
      <c r="H1289" t="n">
        <v>0.0136672178602862</v>
      </c>
      <c r="I1289" t="n">
        <v>0.3728256777882778</v>
      </c>
      <c r="J1289" t="n">
        <v>0.9176692389304876</v>
      </c>
      <c r="K1289" t="n">
        <v>0.0012294260526755</v>
      </c>
      <c r="L1289" t="b">
        <v>0</v>
      </c>
      <c r="M1289" t="b">
        <v>0</v>
      </c>
      <c r="N1289" t="inlineStr">
        <is>
          <t>alt</t>
        </is>
      </c>
      <c r="O1289" t="n">
        <v>-100</v>
      </c>
      <c r="P1289" t="n">
        <v>0.02531</v>
      </c>
      <c r="Q1289" t="n">
        <v>65</v>
      </c>
      <c r="R1289" t="n">
        <v>0.07324</v>
      </c>
      <c r="S1289">
        <f>IMAGE("https://mitra.stanford.edu/kundaje/oak/projects/neuro-variants/variant_position/credible/roussos_2024/variant_figures/roussos_2024.childhood.Astrocyte/rs2411284_count_position.png",4,220,900)</f>
        <v/>
      </c>
      <c r="T1289">
        <f>IMAGE("https://mitra.stanford.edu/kundaje/oak/projects/neuro-variants/variant_position/credible/roussos_2024/variant_figures/roussos_2024.childhood.Astrocyte/rs2411284_profile_position.png",4,220,900)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0.08372491239999991</v>
      </c>
      <c r="G1290" t="n">
        <v>0.1000912591085413</v>
      </c>
      <c r="H1290" t="n">
        <v>0.0216644666756099</v>
      </c>
      <c r="I1290" t="n">
        <v>0.09623388945540221</v>
      </c>
      <c r="J1290" t="n">
        <v>0.0643371268500072</v>
      </c>
      <c r="K1290" t="n">
        <v>0.4025039826267901</v>
      </c>
      <c r="L1290" t="b">
        <v>0</v>
      </c>
      <c r="M1290" t="b">
        <v>0</v>
      </c>
      <c r="N1290" t="inlineStr">
        <is>
          <t>alt</t>
        </is>
      </c>
      <c r="O1290" t="n">
        <v>-65</v>
      </c>
      <c r="P1290" t="n">
        <v>0.003384</v>
      </c>
      <c r="Q1290" t="n">
        <v>80</v>
      </c>
      <c r="R1290" t="n">
        <v>0.2166</v>
      </c>
      <c r="S1290">
        <f>IMAGE("https://mitra.stanford.edu/kundaje/oak/projects/neuro-variants/variant_position/credible/roussos_2024/variant_figures/roussos_2024.childhood.Astrocyte/rs12441861_count_position.png",4,220,900)</f>
        <v/>
      </c>
      <c r="T1290">
        <f>IMAGE("https://mitra.stanford.edu/kundaje/oak/projects/neuro-variants/variant_position/credible/roussos_2024/variant_figures/roussos_2024.childhood.Astrocyte/rs12441861_profile_position.png",4,220,900)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0.0108495297999999</v>
      </c>
      <c r="G1291" t="n">
        <v>0.4221948688960193</v>
      </c>
      <c r="H1291" t="n">
        <v>0.0570517836411872</v>
      </c>
      <c r="I1291" t="n">
        <v>0.0024307202602151</v>
      </c>
      <c r="J1291" t="n">
        <v>0.0362750261424438</v>
      </c>
      <c r="K1291" t="n">
        <v>0.5216606161060444</v>
      </c>
      <c r="L1291" t="b">
        <v>1</v>
      </c>
      <c r="M1291" t="b">
        <v>0</v>
      </c>
      <c r="N1291" t="inlineStr">
        <is>
          <t>alt</t>
        </is>
      </c>
      <c r="O1291" t="n">
        <v>75</v>
      </c>
      <c r="P1291" t="n">
        <v>0.0202</v>
      </c>
      <c r="Q1291" t="n">
        <v>95</v>
      </c>
      <c r="R1291" t="n">
        <v>0.1418</v>
      </c>
      <c r="S1291">
        <f>IMAGE("https://mitra.stanford.edu/kundaje/oak/projects/neuro-variants/variant_position/credible/roussos_2024/variant_figures/roussos_2024.childhood.Astrocyte/rs2957583_count_position.png",4,220,900)</f>
        <v/>
      </c>
      <c r="T1291">
        <f>IMAGE("https://mitra.stanford.edu/kundaje/oak/projects/neuro-variants/variant_position/credible/roussos_2024/variant_figures/roussos_2024.childhood.Astrocyte/rs2957583_profile_position.png",4,220,900)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-0.0369179574</v>
      </c>
      <c r="G1292" t="n">
        <v>0.3128879525994347</v>
      </c>
      <c r="H1292" t="n">
        <v>0.0244689754164414</v>
      </c>
      <c r="I1292" t="n">
        <v>0.0654232044558882</v>
      </c>
      <c r="J1292" t="n">
        <v>0.0080625586773831</v>
      </c>
      <c r="K1292" t="n">
        <v>0.7198217697618319</v>
      </c>
      <c r="L1292" t="b">
        <v>0</v>
      </c>
      <c r="M1292" t="b">
        <v>0</v>
      </c>
      <c r="N1292" t="inlineStr">
        <is>
          <t>ref</t>
        </is>
      </c>
      <c r="O1292" t="n">
        <v>-95</v>
      </c>
      <c r="P1292" t="n">
        <v>0.003723</v>
      </c>
      <c r="Q1292" t="n">
        <v>-30</v>
      </c>
      <c r="R1292" t="n">
        <v>0.07275</v>
      </c>
      <c r="S1292">
        <f>IMAGE("https://mitra.stanford.edu/kundaje/oak/projects/neuro-variants/variant_position/credible/roussos_2024/variant_figures/roussos_2024.childhood.Astrocyte/rs4924727_count_position.png",4,220,900)</f>
        <v/>
      </c>
      <c r="T1292">
        <f>IMAGE("https://mitra.stanford.edu/kundaje/oak/projects/neuro-variants/variant_position/credible/roussos_2024/variant_figures/roussos_2024.childhood.Astrocyte/rs4924727_profile_position.png",4,220,900)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0.0007829375616000001</v>
      </c>
      <c r="G1293" t="n">
        <v>0.6359570448877404</v>
      </c>
      <c r="H1293" t="n">
        <v>0.0154666333971637</v>
      </c>
      <c r="I1293" t="n">
        <v>0.286047983785741</v>
      </c>
      <c r="J1293" t="n">
        <v>0.0023371726469892</v>
      </c>
      <c r="K1293" t="n">
        <v>0.842290839896619</v>
      </c>
      <c r="L1293" t="b">
        <v>0</v>
      </c>
      <c r="M1293" t="b">
        <v>0</v>
      </c>
      <c r="N1293" t="inlineStr">
        <is>
          <t>alt</t>
        </is>
      </c>
      <c r="O1293" t="n">
        <v>20</v>
      </c>
      <c r="P1293" t="n">
        <v>0.0004807</v>
      </c>
      <c r="Q1293" t="n">
        <v>-100</v>
      </c>
      <c r="R1293" t="n">
        <v>0.1685</v>
      </c>
      <c r="S1293">
        <f>IMAGE("https://mitra.stanford.edu/kundaje/oak/projects/neuro-variants/variant_position/credible/roussos_2024/variant_figures/roussos_2024.childhood.Astrocyte/rs12437804_count_position.png",4,220,900)</f>
        <v/>
      </c>
      <c r="T1293">
        <f>IMAGE("https://mitra.stanford.edu/kundaje/oak/projects/neuro-variants/variant_position/credible/roussos_2024/variant_figures/roussos_2024.childhood.Astrocyte/rs12437804_profile_position.png",4,220,900)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0.355584992</v>
      </c>
      <c r="G1294" t="n">
        <v>0.0033480558954218</v>
      </c>
      <c r="H1294" t="n">
        <v>0.0359642826531923</v>
      </c>
      <c r="I1294" t="n">
        <v>0.0145752085893757</v>
      </c>
      <c r="J1294" t="n">
        <v>0.1771786005968872</v>
      </c>
      <c r="K1294" t="n">
        <v>0.223741076491929</v>
      </c>
      <c r="L1294" t="b">
        <v>1</v>
      </c>
      <c r="M1294" t="b">
        <v>1</v>
      </c>
      <c r="N1294" t="inlineStr">
        <is>
          <t>alt</t>
        </is>
      </c>
      <c r="O1294" t="n">
        <v>20</v>
      </c>
      <c r="P1294" t="n">
        <v>0.003601</v>
      </c>
      <c r="Q1294" t="n">
        <v>30</v>
      </c>
      <c r="R1294" t="n">
        <v>0.00928</v>
      </c>
      <c r="S1294">
        <f>IMAGE("https://mitra.stanford.edu/kundaje/oak/projects/neuro-variants/variant_position/credible/roussos_2024/variant_figures/roussos_2024.childhood.Astrocyte/rs4419034_count_position.png",4,220,900)</f>
        <v/>
      </c>
      <c r="T1294">
        <f>IMAGE("https://mitra.stanford.edu/kundaje/oak/projects/neuro-variants/variant_position/credible/roussos_2024/variant_figures/roussos_2024.childhood.Astrocyte/rs4419034_profile_position.png",4,220,900)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-0.0903146406</v>
      </c>
      <c r="G1295" t="n">
        <v>0.0844752952692305</v>
      </c>
      <c r="H1295" t="n">
        <v>0.0115890845512796</v>
      </c>
      <c r="I1295" t="n">
        <v>0.5544053661762365</v>
      </c>
      <c r="J1295" t="n">
        <v>0.0613954340408966</v>
      </c>
      <c r="K1295" t="n">
        <v>0.424533289568815</v>
      </c>
      <c r="L1295" t="b">
        <v>0</v>
      </c>
      <c r="M1295" t="b">
        <v>0</v>
      </c>
      <c r="N1295" t="inlineStr">
        <is>
          <t>ref</t>
        </is>
      </c>
      <c r="O1295" t="n">
        <v>100</v>
      </c>
      <c r="P1295" t="n">
        <v>0.00322</v>
      </c>
      <c r="Q1295" t="n">
        <v>100</v>
      </c>
      <c r="R1295" t="n">
        <v>0.0843</v>
      </c>
      <c r="S1295">
        <f>IMAGE("https://mitra.stanford.edu/kundaje/oak/projects/neuro-variants/variant_position/credible/roussos_2024/variant_figures/roussos_2024.childhood.Astrocyte/rs2706488_count_position.png",4,220,900)</f>
        <v/>
      </c>
      <c r="T1295">
        <f>IMAGE("https://mitra.stanford.edu/kundaje/oak/projects/neuro-variants/variant_position/credible/roussos_2024/variant_figures/roussos_2024.childhood.Astrocyte/rs2706488_profile_position.png",4,220,900)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0.0049210333199999</v>
      </c>
      <c r="G1296" t="n">
        <v>0.7772223890861082</v>
      </c>
      <c r="H1296" t="n">
        <v>0.0303879314812081</v>
      </c>
      <c r="I1296" t="n">
        <v>0.0280269170746238</v>
      </c>
      <c r="J1296" t="n">
        <v>0.1459946722844297</v>
      </c>
      <c r="K1296" t="n">
        <v>0.2584185384508422</v>
      </c>
      <c r="L1296" t="b">
        <v>0</v>
      </c>
      <c r="M1296" t="b">
        <v>0</v>
      </c>
      <c r="N1296" t="inlineStr">
        <is>
          <t>alt</t>
        </is>
      </c>
      <c r="O1296" t="n">
        <v>40</v>
      </c>
      <c r="P1296" t="n">
        <v>0.010864</v>
      </c>
      <c r="Q1296" t="n">
        <v>50</v>
      </c>
      <c r="R1296" t="n">
        <v>0.141</v>
      </c>
      <c r="S1296">
        <f>IMAGE("https://mitra.stanford.edu/kundaje/oak/projects/neuro-variants/variant_position/credible/roussos_2024/variant_figures/roussos_2024.childhood.Astrocyte/rs2957581_count_position.png",4,220,900)</f>
        <v/>
      </c>
      <c r="T1296">
        <f>IMAGE("https://mitra.stanford.edu/kundaje/oak/projects/neuro-variants/variant_position/credible/roussos_2024/variant_figures/roussos_2024.childhood.Astrocyte/rs2957581_profile_position.png",4,220,900)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0.296663438</v>
      </c>
      <c r="G1297" t="n">
        <v>0.0055479367934114</v>
      </c>
      <c r="H1297" t="n">
        <v>0.0478518358739914</v>
      </c>
      <c r="I1297" t="n">
        <v>0.0047869351221408</v>
      </c>
      <c r="J1297" t="n">
        <v>0.0305236884889285</v>
      </c>
      <c r="K1297" t="n">
        <v>0.5306334157163984</v>
      </c>
      <c r="L1297" t="b">
        <v>1</v>
      </c>
      <c r="M1297" t="b">
        <v>1</v>
      </c>
      <c r="N1297" t="inlineStr">
        <is>
          <t>alt</t>
        </is>
      </c>
      <c r="O1297" t="n">
        <v>-85</v>
      </c>
      <c r="P1297" t="n">
        <v>0.0297</v>
      </c>
      <c r="Q1297" t="n">
        <v>-75</v>
      </c>
      <c r="R1297" t="n">
        <v>0.10474</v>
      </c>
      <c r="S1297">
        <f>IMAGE("https://mitra.stanford.edu/kundaje/oak/projects/neuro-variants/variant_position/credible/roussos_2024/variant_figures/roussos_2024.childhood.Astrocyte/rs2615285_count_position.png",4,220,900)</f>
        <v/>
      </c>
      <c r="T1297">
        <f>IMAGE("https://mitra.stanford.edu/kundaje/oak/projects/neuro-variants/variant_position/credible/roussos_2024/variant_figures/roussos_2024.childhood.Astrocyte/rs2615285_profile_position.png",4,220,900)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0.0172989276</v>
      </c>
      <c r="G1298" t="n">
        <v>0.5631969035121617</v>
      </c>
      <c r="H1298" t="n">
        <v>0.0281121650794415</v>
      </c>
      <c r="I1298" t="n">
        <v>0.0378950328181718</v>
      </c>
      <c r="J1298" t="n">
        <v>0.0296611786616594</v>
      </c>
      <c r="K1298" t="n">
        <v>0.5706861783445186</v>
      </c>
      <c r="L1298" t="b">
        <v>0</v>
      </c>
      <c r="M1298" t="b">
        <v>0</v>
      </c>
      <c r="N1298" t="inlineStr">
        <is>
          <t>alt</t>
        </is>
      </c>
      <c r="O1298" t="n">
        <v>75</v>
      </c>
      <c r="P1298" t="n">
        <v>0.002247</v>
      </c>
      <c r="Q1298" t="n">
        <v>-90</v>
      </c>
      <c r="R1298" t="n">
        <v>0.10474</v>
      </c>
      <c r="S1298">
        <f>IMAGE("https://mitra.stanford.edu/kundaje/oak/projects/neuro-variants/variant_position/credible/roussos_2024/variant_figures/roussos_2024.childhood.Astrocyte/rs2555385_count_position.png",4,220,900)</f>
        <v/>
      </c>
      <c r="T1298">
        <f>IMAGE("https://mitra.stanford.edu/kundaje/oak/projects/neuro-variants/variant_position/credible/roussos_2024/variant_figures/roussos_2024.childhood.Astrocyte/rs2555385_profile_position.png",4,220,900)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0.0003708634</v>
      </c>
      <c r="G1299" t="n">
        <v>0.5132743405336311</v>
      </c>
      <c r="H1299" t="n">
        <v>0.0125115593517306</v>
      </c>
      <c r="I1299" t="n">
        <v>0.4636718344068367</v>
      </c>
      <c r="J1299" t="n">
        <v>0.0116156411959118</v>
      </c>
      <c r="K1299" t="n">
        <v>0.6759138504528874</v>
      </c>
      <c r="L1299" t="b">
        <v>0</v>
      </c>
      <c r="M1299" t="b">
        <v>0</v>
      </c>
      <c r="N1299" t="inlineStr">
        <is>
          <t>alt</t>
        </is>
      </c>
      <c r="O1299" t="n">
        <v>-40</v>
      </c>
      <c r="P1299" t="n">
        <v>0.009514</v>
      </c>
      <c r="Q1299" t="n">
        <v>-25</v>
      </c>
      <c r="R1299" t="n">
        <v>0.0745</v>
      </c>
      <c r="S1299">
        <f>IMAGE("https://mitra.stanford.edu/kundaje/oak/projects/neuro-variants/variant_position/credible/roussos_2024/variant_figures/roussos_2024.childhood.Astrocyte/rs2114422_count_position.png",4,220,900)</f>
        <v/>
      </c>
      <c r="T1299">
        <f>IMAGE("https://mitra.stanford.edu/kundaje/oak/projects/neuro-variants/variant_position/credible/roussos_2024/variant_figures/roussos_2024.childhood.Astrocyte/rs2114422_profile_position.png",4,220,900)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-0.0229447594</v>
      </c>
      <c r="G1300" t="n">
        <v>0.4880908780131702</v>
      </c>
      <c r="H1300" t="n">
        <v>0.0500704672067571</v>
      </c>
      <c r="I1300" t="n">
        <v>0.003982017850887</v>
      </c>
      <c r="J1300" t="n">
        <v>0.0006793218993534</v>
      </c>
      <c r="K1300" t="n">
        <v>0.9220278983311482</v>
      </c>
      <c r="L1300" t="b">
        <v>0</v>
      </c>
      <c r="M1300" t="b">
        <v>0</v>
      </c>
      <c r="N1300" t="inlineStr">
        <is>
          <t>ref</t>
        </is>
      </c>
      <c r="O1300" t="n">
        <v>-70</v>
      </c>
      <c r="P1300" t="n">
        <v>0.006897</v>
      </c>
      <c r="Q1300" t="n">
        <v>-40</v>
      </c>
      <c r="R1300" t="n">
        <v>0.06525</v>
      </c>
      <c r="S1300">
        <f>IMAGE("https://mitra.stanford.edu/kundaje/oak/projects/neuro-variants/variant_position/credible/roussos_2024/variant_figures/roussos_2024.childhood.Astrocyte/rs8042697_count_position.png",4,220,900)</f>
        <v/>
      </c>
      <c r="T1300">
        <f>IMAGE("https://mitra.stanford.edu/kundaje/oak/projects/neuro-variants/variant_position/credible/roussos_2024/variant_figures/roussos_2024.childhood.Astrocyte/rs8042697_profile_position.png",4,220,900)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-0.0049573809</v>
      </c>
      <c r="G1301" t="n">
        <v>0.8290307720860581</v>
      </c>
      <c r="H1301" t="n">
        <v>0.0219644801565163</v>
      </c>
      <c r="I1301" t="n">
        <v>0.09390755671114211</v>
      </c>
      <c r="J1301" t="n">
        <v>0.0076816804439253</v>
      </c>
      <c r="K1301" t="n">
        <v>0.7217795859301237</v>
      </c>
      <c r="L1301" t="b">
        <v>0</v>
      </c>
      <c r="M1301" t="b">
        <v>0</v>
      </c>
      <c r="N1301" t="inlineStr">
        <is>
          <t>ref</t>
        </is>
      </c>
      <c r="O1301" t="n">
        <v>-90</v>
      </c>
      <c r="P1301" t="n">
        <v>0.2695</v>
      </c>
      <c r="Q1301" t="n">
        <v>-95</v>
      </c>
      <c r="R1301" t="n">
        <v>0.1982</v>
      </c>
      <c r="S1301">
        <f>IMAGE("https://mitra.stanford.edu/kundaje/oak/projects/neuro-variants/variant_position/credible/roussos_2024/variant_figures/roussos_2024.childhood.Astrocyte/rs2706472_count_position.png",4,220,900)</f>
        <v/>
      </c>
      <c r="T1301">
        <f>IMAGE("https://mitra.stanford.edu/kundaje/oak/projects/neuro-variants/variant_position/credible/roussos_2024/variant_figures/roussos_2024.childhood.Astrocyte/rs2706472_profile_position.png",4,220,900)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-0.237799542</v>
      </c>
      <c r="G1302" t="n">
        <v>0.0113744229335242</v>
      </c>
      <c r="H1302" t="n">
        <v>0.0305950266139198</v>
      </c>
      <c r="I1302" t="n">
        <v>0.0275186054606605</v>
      </c>
      <c r="J1302" t="n">
        <v>0.190324624273927</v>
      </c>
      <c r="K1302" t="n">
        <v>0.2148343041321712</v>
      </c>
      <c r="L1302" t="b">
        <v>1</v>
      </c>
      <c r="M1302" t="b">
        <v>0</v>
      </c>
      <c r="N1302" t="inlineStr">
        <is>
          <t>ref</t>
        </is>
      </c>
      <c r="O1302" t="n">
        <v>-10</v>
      </c>
      <c r="P1302" t="n">
        <v>0.001053</v>
      </c>
      <c r="Q1302" t="n">
        <v>55</v>
      </c>
      <c r="R1302" t="n">
        <v>0.1729</v>
      </c>
      <c r="S1302">
        <f>IMAGE("https://mitra.stanford.edu/kundaje/oak/projects/neuro-variants/variant_position/credible/roussos_2024/variant_figures/roussos_2024.childhood.Astrocyte/rs1427281_count_position.png",4,220,900)</f>
        <v/>
      </c>
      <c r="T1302">
        <f>IMAGE("https://mitra.stanford.edu/kundaje/oak/projects/neuro-variants/variant_position/credible/roussos_2024/variant_figures/roussos_2024.childhood.Astrocyte/rs1427281_profile_position.png",4,220,900)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0.0148489936399999</v>
      </c>
      <c r="G1303" t="n">
        <v>0.6019621390471076</v>
      </c>
      <c r="H1303" t="n">
        <v>0.0226871191498933</v>
      </c>
      <c r="I1303" t="n">
        <v>0.0834490686875058</v>
      </c>
      <c r="J1303" t="n">
        <v>0.0159984123712913</v>
      </c>
      <c r="K1303" t="n">
        <v>0.6242962034691969</v>
      </c>
      <c r="L1303" t="b">
        <v>0</v>
      </c>
      <c r="M1303" t="b">
        <v>0</v>
      </c>
      <c r="N1303" t="inlineStr">
        <is>
          <t>alt</t>
        </is>
      </c>
      <c r="O1303" t="n">
        <v>10</v>
      </c>
      <c r="P1303" t="n">
        <v>0.0006104</v>
      </c>
      <c r="Q1303" t="n">
        <v>35</v>
      </c>
      <c r="R1303" t="n">
        <v>0.03674</v>
      </c>
      <c r="S1303">
        <f>IMAGE("https://mitra.stanford.edu/kundaje/oak/projects/neuro-variants/variant_position/credible/roussos_2024/variant_figures/roussos_2024.childhood.Astrocyte/rs74017282_count_position.png",4,220,900)</f>
        <v/>
      </c>
      <c r="T1303">
        <f>IMAGE("https://mitra.stanford.edu/kundaje/oak/projects/neuro-variants/variant_position/credible/roussos_2024/variant_figures/roussos_2024.childhood.Astrocyte/rs74017282_profile_position.png",4,220,900)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-0.0009358356999999</v>
      </c>
      <c r="G1304" t="n">
        <v>0.7481143374840347</v>
      </c>
      <c r="H1304" t="n">
        <v>0.0114086855752891</v>
      </c>
      <c r="I1304" t="n">
        <v>0.5752115444035059</v>
      </c>
      <c r="J1304" t="n">
        <v>0.0043667422316869</v>
      </c>
      <c r="K1304" t="n">
        <v>0.7916481790669345</v>
      </c>
      <c r="L1304" t="b">
        <v>0</v>
      </c>
      <c r="M1304" t="b">
        <v>0</v>
      </c>
      <c r="N1304" t="inlineStr">
        <is>
          <t>ref</t>
        </is>
      </c>
      <c r="O1304" t="n">
        <v>5</v>
      </c>
      <c r="P1304" t="n">
        <v>0.002197</v>
      </c>
      <c r="Q1304" t="n">
        <v>-10</v>
      </c>
      <c r="R1304" t="n">
        <v>0.02872</v>
      </c>
      <c r="S1304">
        <f>IMAGE("https://mitra.stanford.edu/kundaje/oak/projects/neuro-variants/variant_position/credible/roussos_2024/variant_figures/roussos_2024.childhood.Astrocyte/rs12912003_count_position.png",4,220,900)</f>
        <v/>
      </c>
      <c r="T1304">
        <f>IMAGE("https://mitra.stanford.edu/kundaje/oak/projects/neuro-variants/variant_position/credible/roussos_2024/variant_figures/roussos_2024.childhood.Astrocyte/rs12912003_profile_position.png",4,220,900)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0.081733344</v>
      </c>
      <c r="G1305" t="n">
        <v>0.10024543972206</v>
      </c>
      <c r="H1305" t="n">
        <v>0.0109294609679357</v>
      </c>
      <c r="I1305" t="n">
        <v>0.6186714955309186</v>
      </c>
      <c r="J1305" t="n">
        <v>0.0226328684939661</v>
      </c>
      <c r="K1305" t="n">
        <v>0.5720174581742863</v>
      </c>
      <c r="L1305" t="b">
        <v>0</v>
      </c>
      <c r="M1305" t="b">
        <v>0</v>
      </c>
      <c r="N1305" t="inlineStr">
        <is>
          <t>alt</t>
        </is>
      </c>
      <c r="O1305" t="n">
        <v>-90</v>
      </c>
      <c r="P1305" t="n">
        <v>0.01523</v>
      </c>
      <c r="Q1305" t="n">
        <v>-90</v>
      </c>
      <c r="R1305" t="n">
        <v>0.1384</v>
      </c>
      <c r="S1305">
        <f>IMAGE("https://mitra.stanford.edu/kundaje/oak/projects/neuro-variants/variant_position/credible/roussos_2024/variant_figures/roussos_2024.childhood.Astrocyte/rs640704_count_position.png",4,220,900)</f>
        <v/>
      </c>
      <c r="T1305">
        <f>IMAGE("https://mitra.stanford.edu/kundaje/oak/projects/neuro-variants/variant_position/credible/roussos_2024/variant_figures/roussos_2024.childhood.Astrocyte/rs640704_profile_position.png",4,220,900)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-0.022582753</v>
      </c>
      <c r="G1306" t="n">
        <v>0.4682491651903942</v>
      </c>
      <c r="H1306" t="n">
        <v>0.0120924136447769</v>
      </c>
      <c r="I1306" t="n">
        <v>0.5108218614641504</v>
      </c>
      <c r="J1306" t="n">
        <v>0.0040072359231526</v>
      </c>
      <c r="K1306" t="n">
        <v>0.7954704560163637</v>
      </c>
      <c r="L1306" t="b">
        <v>0</v>
      </c>
      <c r="M1306" t="b">
        <v>0</v>
      </c>
      <c r="N1306" t="inlineStr">
        <is>
          <t>ref</t>
        </is>
      </c>
      <c r="O1306" t="n">
        <v>-5</v>
      </c>
      <c r="P1306" t="n">
        <v>0.0005417</v>
      </c>
      <c r="Q1306" t="n">
        <v>-15</v>
      </c>
      <c r="R1306" t="n">
        <v>0.0343</v>
      </c>
      <c r="S1306">
        <f>IMAGE("https://mitra.stanford.edu/kundaje/oak/projects/neuro-variants/variant_position/credible/roussos_2024/variant_figures/roussos_2024.childhood.Astrocyte/rs12437952_count_position.png",4,220,900)</f>
        <v/>
      </c>
      <c r="T1306">
        <f>IMAGE("https://mitra.stanford.edu/kundaje/oak/projects/neuro-variants/variant_position/credible/roussos_2024/variant_figures/roussos_2024.childhood.Astrocyte/rs12437952_profile_position.png",4,220,900)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0.0021701669</v>
      </c>
      <c r="G1307" t="n">
        <v>0.8860321585263038</v>
      </c>
      <c r="H1307" t="n">
        <v>0.0162708919536393</v>
      </c>
      <c r="I1307" t="n">
        <v>0.2359133667917025</v>
      </c>
      <c r="J1307" t="n">
        <v>0.0058757527878912</v>
      </c>
      <c r="K1307" t="n">
        <v>0.7518986597963138</v>
      </c>
      <c r="L1307" t="b">
        <v>0</v>
      </c>
      <c r="M1307" t="b">
        <v>0</v>
      </c>
      <c r="N1307" t="inlineStr">
        <is>
          <t>alt</t>
        </is>
      </c>
      <c r="O1307" t="n">
        <v>85</v>
      </c>
      <c r="P1307" t="n">
        <v>0.01282</v>
      </c>
      <c r="Q1307" t="n">
        <v>50</v>
      </c>
      <c r="R1307" t="n">
        <v>0.11084</v>
      </c>
      <c r="S1307">
        <f>IMAGE("https://mitra.stanford.edu/kundaje/oak/projects/neuro-variants/variant_position/credible/roussos_2024/variant_figures/roussos_2024.childhood.Astrocyte/rs8025383_count_position.png",4,220,900)</f>
        <v/>
      </c>
      <c r="T1307">
        <f>IMAGE("https://mitra.stanford.edu/kundaje/oak/projects/neuro-variants/variant_position/credible/roussos_2024/variant_figures/roussos_2024.childhood.Astrocyte/rs8025383_profile_position.png",4,220,900)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-0.01037918026</v>
      </c>
      <c r="G1308" t="n">
        <v>0.731865095082797</v>
      </c>
      <c r="H1308" t="n">
        <v>0.0224268300173383</v>
      </c>
      <c r="I1308" t="n">
        <v>0.08746754920145169</v>
      </c>
      <c r="J1308" t="n">
        <v>0.0178089197255233</v>
      </c>
      <c r="K1308" t="n">
        <v>0.6087313170285112</v>
      </c>
      <c r="L1308" t="b">
        <v>0</v>
      </c>
      <c r="M1308" t="b">
        <v>0</v>
      </c>
      <c r="N1308" t="inlineStr">
        <is>
          <t>ref</t>
        </is>
      </c>
      <c r="O1308" t="n">
        <v>-90</v>
      </c>
      <c r="P1308" t="n">
        <v>0.01663</v>
      </c>
      <c r="Q1308" t="n">
        <v>-95</v>
      </c>
      <c r="R1308" t="n">
        <v>0.08716</v>
      </c>
      <c r="S1308">
        <f>IMAGE("https://mitra.stanford.edu/kundaje/oak/projects/neuro-variants/variant_position/credible/roussos_2024/variant_figures/roussos_2024.childhood.Astrocyte/rs474875_count_position.png",4,220,900)</f>
        <v/>
      </c>
      <c r="T1308">
        <f>IMAGE("https://mitra.stanford.edu/kundaje/oak/projects/neuro-variants/variant_position/credible/roussos_2024/variant_figures/roussos_2024.childhood.Astrocyte/rs474875_profile_position.png",4,220,900)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-0.008242206659999999</v>
      </c>
      <c r="G1309" t="n">
        <v>0.7716230403622403</v>
      </c>
      <c r="H1309" t="n">
        <v>0.0278475997599598</v>
      </c>
      <c r="I1309" t="n">
        <v>0.0408078422314062</v>
      </c>
      <c r="J1309" t="n">
        <v>0.0016265561432834</v>
      </c>
      <c r="K1309" t="n">
        <v>0.8739355233922779</v>
      </c>
      <c r="L1309" t="b">
        <v>0</v>
      </c>
      <c r="M1309" t="b">
        <v>0</v>
      </c>
      <c r="N1309" t="inlineStr">
        <is>
          <t>ref</t>
        </is>
      </c>
      <c r="O1309" t="n">
        <v>-95</v>
      </c>
      <c r="P1309" t="n">
        <v>0.03964</v>
      </c>
      <c r="Q1309" t="n">
        <v>40</v>
      </c>
      <c r="R1309" t="n">
        <v>0.09106</v>
      </c>
      <c r="S1309">
        <f>IMAGE("https://mitra.stanford.edu/kundaje/oak/projects/neuro-variants/variant_position/credible/roussos_2024/variant_figures/roussos_2024.childhood.Astrocyte/rs793571_count_position.png",4,220,900)</f>
        <v/>
      </c>
      <c r="T1309">
        <f>IMAGE("https://mitra.stanford.edu/kundaje/oak/projects/neuro-variants/variant_position/credible/roussos_2024/variant_figures/roussos_2024.childhood.Astrocyte/rs793571_profile_position.png",4,220,900)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-0.0138026138</v>
      </c>
      <c r="G1310" t="n">
        <v>0.3735215220801814</v>
      </c>
      <c r="H1310" t="n">
        <v>0.009861777697345</v>
      </c>
      <c r="I1310" t="n">
        <v>0.7080160181623295</v>
      </c>
      <c r="J1310" t="n">
        <v>0.0185416714371855</v>
      </c>
      <c r="K1310" t="n">
        <v>0.6028938111932211</v>
      </c>
      <c r="L1310" t="b">
        <v>0</v>
      </c>
      <c r="M1310" t="b">
        <v>0</v>
      </c>
      <c r="N1310" t="inlineStr">
        <is>
          <t>ref</t>
        </is>
      </c>
      <c r="O1310" t="n">
        <v>-35</v>
      </c>
      <c r="P1310" t="n">
        <v>0.03622</v>
      </c>
      <c r="Q1310" t="n">
        <v>80</v>
      </c>
      <c r="R1310" t="n">
        <v>0.1345</v>
      </c>
      <c r="S1310">
        <f>IMAGE("https://mitra.stanford.edu/kundaje/oak/projects/neuro-variants/variant_position/credible/roussos_2024/variant_figures/roussos_2024.childhood.Astrocyte/rs7179456_count_position.png",4,220,900)</f>
        <v/>
      </c>
      <c r="T1310">
        <f>IMAGE("https://mitra.stanford.edu/kundaje/oak/projects/neuro-variants/variant_position/credible/roussos_2024/variant_figures/roussos_2024.childhood.Astrocyte/rs7179456_profile_position.png",4,220,900)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0.0602987405399999</v>
      </c>
      <c r="G1311" t="n">
        <v>0.174952835077615</v>
      </c>
      <c r="H1311" t="n">
        <v>0.0228640049817841</v>
      </c>
      <c r="I1311" t="n">
        <v>0.0806472482228298</v>
      </c>
      <c r="J1311" t="n">
        <v>0.2683161213009395</v>
      </c>
      <c r="K1311" t="n">
        <v>0.1508598218124781</v>
      </c>
      <c r="L1311" t="b">
        <v>0</v>
      </c>
      <c r="M1311" t="b">
        <v>0</v>
      </c>
      <c r="N1311" t="inlineStr">
        <is>
          <t>alt</t>
        </is>
      </c>
      <c r="O1311" t="n">
        <v>-50</v>
      </c>
      <c r="P1311" t="n">
        <v>0.002602</v>
      </c>
      <c r="Q1311" t="n">
        <v>60</v>
      </c>
      <c r="R1311" t="n">
        <v>0.109</v>
      </c>
      <c r="S1311">
        <f>IMAGE("https://mitra.stanford.edu/kundaje/oak/projects/neuro-variants/variant_position/credible/roussos_2024/variant_figures/roussos_2024.childhood.Astrocyte/rs2270664_count_position.png",4,220,900)</f>
        <v/>
      </c>
      <c r="T1311">
        <f>IMAGE("https://mitra.stanford.edu/kundaje/oak/projects/neuro-variants/variant_position/credible/roussos_2024/variant_figures/roussos_2024.childhood.Astrocyte/rs2270664_profile_position.png",4,220,900)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0.002077601094</v>
      </c>
      <c r="G1312" t="n">
        <v>0.885160907055487</v>
      </c>
      <c r="H1312" t="n">
        <v>0.0268691234354537</v>
      </c>
      <c r="I1312" t="n">
        <v>0.044623840702166</v>
      </c>
      <c r="J1312" t="n">
        <v>0.0002686756276094</v>
      </c>
      <c r="K1312" t="n">
        <v>0.9670766076962096</v>
      </c>
      <c r="L1312" t="b">
        <v>0</v>
      </c>
      <c r="M1312" t="b">
        <v>0</v>
      </c>
      <c r="N1312" t="inlineStr">
        <is>
          <t>alt</t>
        </is>
      </c>
      <c r="O1312" t="n">
        <v>-80</v>
      </c>
      <c r="P1312" t="n">
        <v>0.009860000000000001</v>
      </c>
      <c r="Q1312" t="n">
        <v>-35</v>
      </c>
      <c r="R1312" t="n">
        <v>0.02603</v>
      </c>
      <c r="S1312">
        <f>IMAGE("https://mitra.stanford.edu/kundaje/oak/projects/neuro-variants/variant_position/credible/roussos_2024/variant_figures/roussos_2024.childhood.Astrocyte/rs11071400_count_position.png",4,220,900)</f>
        <v/>
      </c>
      <c r="T1312">
        <f>IMAGE("https://mitra.stanford.edu/kundaje/oak/projects/neuro-variants/variant_position/credible/roussos_2024/variant_figures/roussos_2024.childhood.Astrocyte/rs11071400_profile_position.png",4,220,900)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0.0451437321999999</v>
      </c>
      <c r="G1313" t="n">
        <v>0.248518080296203</v>
      </c>
      <c r="H1313" t="n">
        <v>0.0175107461001981</v>
      </c>
      <c r="I1313" t="n">
        <v>0.1892155523269177</v>
      </c>
      <c r="J1313" t="n">
        <v>0.0075801638005388</v>
      </c>
      <c r="K1313" t="n">
        <v>0.7329017064112128</v>
      </c>
      <c r="L1313" t="b">
        <v>0</v>
      </c>
      <c r="M1313" t="b">
        <v>0</v>
      </c>
      <c r="N1313" t="inlineStr">
        <is>
          <t>alt</t>
        </is>
      </c>
      <c r="O1313" t="n">
        <v>-70</v>
      </c>
      <c r="P1313" t="n">
        <v>0.1385</v>
      </c>
      <c r="Q1313" t="n">
        <v>100</v>
      </c>
      <c r="R1313" t="n">
        <v>0.1404</v>
      </c>
      <c r="S1313">
        <f>IMAGE("https://mitra.stanford.edu/kundaje/oak/projects/neuro-variants/variant_position/credible/roussos_2024/variant_figures/roussos_2024.childhood.Astrocyte/rs11857223_count_position.png",4,220,900)</f>
        <v/>
      </c>
      <c r="T1313">
        <f>IMAGE("https://mitra.stanford.edu/kundaje/oak/projects/neuro-variants/variant_position/credible/roussos_2024/variant_figures/roussos_2024.childhood.Astrocyte/rs11857223_profile_position.png",4,220,900)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-0.01462555976</v>
      </c>
      <c r="G1314" t="n">
        <v>0.6259192469007361</v>
      </c>
      <c r="H1314" t="n">
        <v>0.008947500784625501</v>
      </c>
      <c r="I1314" t="n">
        <v>0.7975643536762518</v>
      </c>
      <c r="J1314" t="n">
        <v>0.0045110027249203</v>
      </c>
      <c r="K1314" t="n">
        <v>0.785600175208498</v>
      </c>
      <c r="L1314" t="b">
        <v>0</v>
      </c>
      <c r="M1314" t="b">
        <v>0</v>
      </c>
      <c r="N1314" t="inlineStr">
        <is>
          <t>ref</t>
        </is>
      </c>
      <c r="O1314" t="n">
        <v>-5</v>
      </c>
      <c r="P1314" t="n">
        <v>0.0004067</v>
      </c>
      <c r="Q1314" t="n">
        <v>-95</v>
      </c>
      <c r="R1314" t="n">
        <v>0.1609</v>
      </c>
      <c r="S1314">
        <f>IMAGE("https://mitra.stanford.edu/kundaje/oak/projects/neuro-variants/variant_position/credible/roussos_2024/variant_figures/roussos_2024.childhood.Astrocyte/rs4774315_count_position.png",4,220,900)</f>
        <v/>
      </c>
      <c r="T1314">
        <f>IMAGE("https://mitra.stanford.edu/kundaje/oak/projects/neuro-variants/variant_position/credible/roussos_2024/variant_figures/roussos_2024.childhood.Astrocyte/rs4774315_profile_position.png",4,220,900)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0.238986408</v>
      </c>
      <c r="G1315" t="n">
        <v>0.009985976242135401</v>
      </c>
      <c r="H1315" t="n">
        <v>0.0325109775845359</v>
      </c>
      <c r="I1315" t="n">
        <v>0.0224058470731909</v>
      </c>
      <c r="J1315" t="n">
        <v>0.0104096540038011</v>
      </c>
      <c r="K1315" t="n">
        <v>0.6861675807018197</v>
      </c>
      <c r="L1315" t="b">
        <v>1</v>
      </c>
      <c r="M1315" t="b">
        <v>0</v>
      </c>
      <c r="N1315" t="inlineStr">
        <is>
          <t>alt</t>
        </is>
      </c>
      <c r="O1315" t="n">
        <v>-25</v>
      </c>
      <c r="P1315" t="n">
        <v>0.002064</v>
      </c>
      <c r="Q1315" t="n">
        <v>90</v>
      </c>
      <c r="R1315" t="n">
        <v>0.1139</v>
      </c>
      <c r="S1315">
        <f>IMAGE("https://mitra.stanford.edu/kundaje/oak/projects/neuro-variants/variant_position/credible/roussos_2024/variant_figures/roussos_2024.childhood.Astrocyte/rs4775106_count_position.png",4,220,900)</f>
        <v/>
      </c>
      <c r="T1315">
        <f>IMAGE("https://mitra.stanford.edu/kundaje/oak/projects/neuro-variants/variant_position/credible/roussos_2024/variant_figures/roussos_2024.childhood.Astrocyte/rs4775106_profile_position.png",4,220,900)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-0.00469997432</v>
      </c>
      <c r="G1316" t="n">
        <v>0.6712809626497943</v>
      </c>
      <c r="H1316" t="n">
        <v>0.0217251302501943</v>
      </c>
      <c r="I1316" t="n">
        <v>0.09719155594857</v>
      </c>
      <c r="J1316" t="n">
        <v>0.0400334317968445</v>
      </c>
      <c r="K1316" t="n">
        <v>0.4907887478872363</v>
      </c>
      <c r="L1316" t="b">
        <v>0</v>
      </c>
      <c r="M1316" t="b">
        <v>0</v>
      </c>
      <c r="N1316" t="inlineStr">
        <is>
          <t>ref</t>
        </is>
      </c>
      <c r="O1316" t="n">
        <v>-65</v>
      </c>
      <c r="P1316" t="n">
        <v>0.01599</v>
      </c>
      <c r="Q1316" t="n">
        <v>-65</v>
      </c>
      <c r="R1316" t="n">
        <v>0.11005</v>
      </c>
      <c r="S1316">
        <f>IMAGE("https://mitra.stanford.edu/kundaje/oak/projects/neuro-variants/variant_position/credible/roussos_2024/variant_figures/roussos_2024.childhood.Astrocyte/rs8042896_count_position.png",4,220,900)</f>
        <v/>
      </c>
      <c r="T1316">
        <f>IMAGE("https://mitra.stanford.edu/kundaje/oak/projects/neuro-variants/variant_position/credible/roussos_2024/variant_figures/roussos_2024.childhood.Astrocyte/rs8042896_profile_position.png",4,220,900)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0.030531815</v>
      </c>
      <c r="G1317" t="n">
        <v>0.2740445563430818</v>
      </c>
      <c r="H1317" t="n">
        <v>0.0614813300144718</v>
      </c>
      <c r="I1317" t="n">
        <v>0.0018541985481569</v>
      </c>
      <c r="J1317" t="n">
        <v>0.0246853365696533</v>
      </c>
      <c r="K1317" t="n">
        <v>0.5754689509810993</v>
      </c>
      <c r="L1317" t="b">
        <v>1</v>
      </c>
      <c r="M1317" t="b">
        <v>0</v>
      </c>
      <c r="N1317" t="inlineStr">
        <is>
          <t>alt</t>
        </is>
      </c>
      <c r="O1317" t="n">
        <v>45</v>
      </c>
      <c r="P1317" t="n">
        <v>0.007812</v>
      </c>
      <c r="Q1317" t="n">
        <v>35</v>
      </c>
      <c r="R1317" t="n">
        <v>0.0509</v>
      </c>
      <c r="S1317">
        <f>IMAGE("https://mitra.stanford.edu/kundaje/oak/projects/neuro-variants/variant_position/credible/roussos_2024/variant_figures/roussos_2024.childhood.Astrocyte/rs78352043_count_position.png",4,220,900)</f>
        <v/>
      </c>
      <c r="T1317">
        <f>IMAGE("https://mitra.stanford.edu/kundaje/oak/projects/neuro-variants/variant_position/credible/roussos_2024/variant_figures/roussos_2024.childhood.Astrocyte/rs78352043_profile_position.png",4,220,900)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0.0220723637999999</v>
      </c>
      <c r="G1318" t="n">
        <v>0.1067217542504206</v>
      </c>
      <c r="H1318" t="n">
        <v>0.0164467942712673</v>
      </c>
      <c r="I1318" t="n">
        <v>0.2285882533686603</v>
      </c>
      <c r="J1318" t="n">
        <v>0.0801813560486363</v>
      </c>
      <c r="K1318" t="n">
        <v>0.3685058109034159</v>
      </c>
      <c r="L1318" t="b">
        <v>0</v>
      </c>
      <c r="M1318" t="b">
        <v>0</v>
      </c>
      <c r="N1318" t="inlineStr">
        <is>
          <t>alt</t>
        </is>
      </c>
      <c r="O1318" t="n">
        <v>80</v>
      </c>
      <c r="P1318" t="n">
        <v>0.009220000000000001</v>
      </c>
      <c r="Q1318" t="n">
        <v>70</v>
      </c>
      <c r="R1318" t="n">
        <v>0.2068</v>
      </c>
      <c r="S1318">
        <f>IMAGE("https://mitra.stanford.edu/kundaje/oak/projects/neuro-variants/variant_position/credible/roussos_2024/variant_figures/roussos_2024.childhood.Astrocyte/rs11633501_count_position.png",4,220,900)</f>
        <v/>
      </c>
      <c r="T1318">
        <f>IMAGE("https://mitra.stanford.edu/kundaje/oak/projects/neuro-variants/variant_position/credible/roussos_2024/variant_figures/roussos_2024.childhood.Astrocyte/rs11633501_profile_position.png",4,220,900)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-0.0267643484</v>
      </c>
      <c r="G1319" t="n">
        <v>0.4249939535927157</v>
      </c>
      <c r="H1319" t="n">
        <v>0.008194313945746001</v>
      </c>
      <c r="I1319" t="n">
        <v>0.8842639155259161</v>
      </c>
      <c r="J1319" t="n">
        <v>0.0503354628929953</v>
      </c>
      <c r="K1319" t="n">
        <v>0.4438003839071036</v>
      </c>
      <c r="L1319" t="b">
        <v>0</v>
      </c>
      <c r="M1319" t="b">
        <v>0</v>
      </c>
      <c r="N1319" t="inlineStr">
        <is>
          <t>ref</t>
        </is>
      </c>
      <c r="O1319" t="n">
        <v>55</v>
      </c>
      <c r="P1319" t="n">
        <v>0.01334</v>
      </c>
      <c r="Q1319" t="n">
        <v>-70</v>
      </c>
      <c r="R1319" t="n">
        <v>0.1238</v>
      </c>
      <c r="S1319">
        <f>IMAGE("https://mitra.stanford.edu/kundaje/oak/projects/neuro-variants/variant_position/credible/roussos_2024/variant_figures/roussos_2024.childhood.Astrocyte/rs4635285_count_position.png",4,220,900)</f>
        <v/>
      </c>
      <c r="T1319">
        <f>IMAGE("https://mitra.stanford.edu/kundaje/oak/projects/neuro-variants/variant_position/credible/roussos_2024/variant_figures/roussos_2024.childhood.Astrocyte/rs4635285_profile_position.png",4,220,900)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0.147036618</v>
      </c>
      <c r="G1320" t="n">
        <v>0.0426953915185598</v>
      </c>
      <c r="H1320" t="n">
        <v>0.030213358818363</v>
      </c>
      <c r="I1320" t="n">
        <v>0.0346270585116986</v>
      </c>
      <c r="J1320" t="n">
        <v>0.1117034187447046</v>
      </c>
      <c r="K1320" t="n">
        <v>0.310222296556169</v>
      </c>
      <c r="L1320" t="b">
        <v>0</v>
      </c>
      <c r="M1320" t="b">
        <v>0</v>
      </c>
      <c r="N1320" t="inlineStr">
        <is>
          <t>alt</t>
        </is>
      </c>
      <c r="O1320" t="n">
        <v>-65</v>
      </c>
      <c r="P1320" t="n">
        <v>0.00864</v>
      </c>
      <c r="Q1320" t="n">
        <v>-70</v>
      </c>
      <c r="R1320" t="n">
        <v>0.124</v>
      </c>
      <c r="S1320">
        <f>IMAGE("https://mitra.stanford.edu/kundaje/oak/projects/neuro-variants/variant_position/credible/roussos_2024/variant_figures/roussos_2024.childhood.Astrocyte/rs55835773_count_position.png",4,220,900)</f>
        <v/>
      </c>
      <c r="T1320">
        <f>IMAGE("https://mitra.stanford.edu/kundaje/oak/projects/neuro-variants/variant_position/credible/roussos_2024/variant_figures/roussos_2024.childhood.Astrocyte/rs55835773_profile_position.png",4,220,900)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-0.1204131451999999</v>
      </c>
      <c r="G1321" t="n">
        <v>0.0551323386300317</v>
      </c>
      <c r="H1321" t="n">
        <v>0.031506018027859</v>
      </c>
      <c r="I1321" t="n">
        <v>0.0311200867802364</v>
      </c>
      <c r="J1321" t="n">
        <v>0.0748559303275247</v>
      </c>
      <c r="K1321" t="n">
        <v>0.3786645482759597</v>
      </c>
      <c r="L1321" t="b">
        <v>0</v>
      </c>
      <c r="M1321" t="b">
        <v>0</v>
      </c>
      <c r="N1321" t="inlineStr">
        <is>
          <t>ref</t>
        </is>
      </c>
      <c r="O1321" t="n">
        <v>-90</v>
      </c>
      <c r="P1321" t="n">
        <v>0.00839</v>
      </c>
      <c r="Q1321" t="n">
        <v>-60</v>
      </c>
      <c r="R1321" t="n">
        <v>0.1416</v>
      </c>
      <c r="S1321">
        <f>IMAGE("https://mitra.stanford.edu/kundaje/oak/projects/neuro-variants/variant_position/credible/roussos_2024/variant_figures/roussos_2024.childhood.Astrocyte/rs55835940_count_position.png",4,220,900)</f>
        <v/>
      </c>
      <c r="T1321">
        <f>IMAGE("https://mitra.stanford.edu/kundaje/oak/projects/neuro-variants/variant_position/credible/roussos_2024/variant_figures/roussos_2024.childhood.Astrocyte/rs55835940_profile_position.png",4,220,900)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-0.0405231994</v>
      </c>
      <c r="G1322" t="n">
        <v>0.2951386449828008</v>
      </c>
      <c r="H1322" t="n">
        <v>0.0166642462885733</v>
      </c>
      <c r="I1322" t="n">
        <v>0.2228052181049079</v>
      </c>
      <c r="J1322" t="n">
        <v>0.6659980307297749</v>
      </c>
      <c r="K1322" t="n">
        <v>0.0224858483958433</v>
      </c>
      <c r="L1322" t="b">
        <v>0</v>
      </c>
      <c r="M1322" t="b">
        <v>0</v>
      </c>
      <c r="N1322" t="inlineStr">
        <is>
          <t>ref</t>
        </is>
      </c>
      <c r="O1322" t="n">
        <v>-100</v>
      </c>
      <c r="P1322" t="n">
        <v>0.03024</v>
      </c>
      <c r="Q1322" t="n">
        <v>100</v>
      </c>
      <c r="R1322" t="n">
        <v>0.5376</v>
      </c>
      <c r="S1322">
        <f>IMAGE("https://mitra.stanford.edu/kundaje/oak/projects/neuro-variants/variant_position/credible/roussos_2024/variant_figures/roussos_2024.childhood.Astrocyte/rs7169676_count_position.png",4,220,900)</f>
        <v/>
      </c>
      <c r="T1322">
        <f>IMAGE("https://mitra.stanford.edu/kundaje/oak/projects/neuro-variants/variant_position/credible/roussos_2024/variant_figures/roussos_2024.childhood.Astrocyte/rs7169676_profile_position.png",4,220,900)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0.207521522</v>
      </c>
      <c r="G1323" t="n">
        <v>0.0188337390837437</v>
      </c>
      <c r="H1323" t="n">
        <v>0.0254966876309103</v>
      </c>
      <c r="I1323" t="n">
        <v>0.08395114267022059</v>
      </c>
      <c r="J1323" t="n">
        <v>0.0003045499301595</v>
      </c>
      <c r="K1323" t="n">
        <v>0.9774083983390868</v>
      </c>
      <c r="L1323" t="b">
        <v>1</v>
      </c>
      <c r="M1323" t="b">
        <v>0</v>
      </c>
      <c r="N1323" t="inlineStr">
        <is>
          <t>alt</t>
        </is>
      </c>
      <c r="O1323" t="n">
        <v>80</v>
      </c>
      <c r="P1323" t="n">
        <v>0.009549999999999999</v>
      </c>
      <c r="Q1323" t="n">
        <v>-100</v>
      </c>
      <c r="R1323" t="n">
        <v>0.2496</v>
      </c>
      <c r="S1323">
        <f>IMAGE("https://mitra.stanford.edu/kundaje/oak/projects/neuro-variants/variant_position/credible/roussos_2024/variant_figures/roussos_2024.childhood.Astrocyte/rs28620094_count_position.png",4,220,900)</f>
        <v/>
      </c>
      <c r="T1323">
        <f>IMAGE("https://mitra.stanford.edu/kundaje/oak/projects/neuro-variants/variant_position/credible/roussos_2024/variant_figures/roussos_2024.childhood.Astrocyte/rs28620094_profile_position.png",4,220,900)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-0.03488694426</v>
      </c>
      <c r="G1324" t="n">
        <v>0.3513182669985626</v>
      </c>
      <c r="H1324" t="n">
        <v>0.0128788011196595</v>
      </c>
      <c r="I1324" t="n">
        <v>0.4453503771037822</v>
      </c>
      <c r="J1324" t="n">
        <v>0.000735041560761</v>
      </c>
      <c r="K1324" t="n">
        <v>0.9355536473278436</v>
      </c>
      <c r="L1324" t="b">
        <v>0</v>
      </c>
      <c r="M1324" t="b">
        <v>0</v>
      </c>
      <c r="N1324" t="inlineStr">
        <is>
          <t>ref</t>
        </is>
      </c>
      <c r="O1324" t="n">
        <v>70</v>
      </c>
      <c r="P1324" t="n">
        <v>0.0148</v>
      </c>
      <c r="Q1324" t="n">
        <v>-35</v>
      </c>
      <c r="R1324" t="n">
        <v>0.0476</v>
      </c>
      <c r="S1324">
        <f>IMAGE("https://mitra.stanford.edu/kundaje/oak/projects/neuro-variants/variant_position/credible/roussos_2024/variant_figures/roussos_2024.childhood.Astrocyte/rs1971791_count_position.png",4,220,900)</f>
        <v/>
      </c>
      <c r="T1324">
        <f>IMAGE("https://mitra.stanford.edu/kundaje/oak/projects/neuro-variants/variant_position/credible/roussos_2024/variant_figures/roussos_2024.childhood.Astrocyte/rs1971791_profile_position.png",4,220,900)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0.18370335</v>
      </c>
      <c r="G1325" t="n">
        <v>0.0285854744125833</v>
      </c>
      <c r="H1325" t="n">
        <v>0.0204458387561402</v>
      </c>
      <c r="I1325" t="n">
        <v>0.1357874777921423</v>
      </c>
      <c r="J1325" t="n">
        <v>0.4343630021448253</v>
      </c>
      <c r="K1325" t="n">
        <v>0.0743181141872252</v>
      </c>
      <c r="L1325" t="b">
        <v>0</v>
      </c>
      <c r="M1325" t="b">
        <v>0</v>
      </c>
      <c r="N1325" t="inlineStr">
        <is>
          <t>alt</t>
        </is>
      </c>
      <c r="O1325" t="n">
        <v>-15</v>
      </c>
      <c r="P1325" t="n">
        <v>0.00293</v>
      </c>
      <c r="Q1325" t="n">
        <v>-15</v>
      </c>
      <c r="R1325" t="n">
        <v>0.0381</v>
      </c>
      <c r="S1325">
        <f>IMAGE("https://mitra.stanford.edu/kundaje/oak/projects/neuro-variants/variant_position/credible/roussos_2024/variant_figures/roussos_2024.childhood.Astrocyte/rs2415092_count_position.png",4,220,900)</f>
        <v/>
      </c>
      <c r="T1325">
        <f>IMAGE("https://mitra.stanford.edu/kundaje/oak/projects/neuro-variants/variant_position/credible/roussos_2024/variant_figures/roussos_2024.childhood.Astrocyte/rs2415092_profile_position.png",4,220,900)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0.0779280178</v>
      </c>
      <c r="G1326" t="n">
        <v>0.1137293951097054</v>
      </c>
      <c r="H1326" t="n">
        <v>0.0185980174595393</v>
      </c>
      <c r="I1326" t="n">
        <v>0.1660427191700804</v>
      </c>
      <c r="J1326" t="n">
        <v>0.0935258333142512</v>
      </c>
      <c r="K1326" t="n">
        <v>0.3343345154191559</v>
      </c>
      <c r="L1326" t="b">
        <v>0</v>
      </c>
      <c r="M1326" t="b">
        <v>0</v>
      </c>
      <c r="N1326" t="inlineStr">
        <is>
          <t>alt</t>
        </is>
      </c>
      <c r="O1326" t="n">
        <v>-50</v>
      </c>
      <c r="P1326" t="n">
        <v>0.02094</v>
      </c>
      <c r="Q1326" t="n">
        <v>-50</v>
      </c>
      <c r="R1326" t="n">
        <v>0.1349</v>
      </c>
      <c r="S1326">
        <f>IMAGE("https://mitra.stanford.edu/kundaje/oak/projects/neuro-variants/variant_position/credible/roussos_2024/variant_figures/roussos_2024.childhood.Astrocyte/rs2915695_count_position.png",4,220,900)</f>
        <v/>
      </c>
      <c r="T1326">
        <f>IMAGE("https://mitra.stanford.edu/kundaje/oak/projects/neuro-variants/variant_position/credible/roussos_2024/variant_figures/roussos_2024.childhood.Astrocyte/rs2915695_profile_position.png",4,220,900)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0.1670169272</v>
      </c>
      <c r="G1327" t="n">
        <v>0.0262860292688238</v>
      </c>
      <c r="H1327" t="n">
        <v>0.0180797008263196</v>
      </c>
      <c r="I1327" t="n">
        <v>0.1845906534758438</v>
      </c>
      <c r="J1327" t="n">
        <v>0.0784349644691747</v>
      </c>
      <c r="K1327" t="n">
        <v>0.3676539852743339</v>
      </c>
      <c r="L1327" t="b">
        <v>0</v>
      </c>
      <c r="M1327" t="b">
        <v>0</v>
      </c>
      <c r="N1327" t="inlineStr">
        <is>
          <t>alt</t>
        </is>
      </c>
      <c r="O1327" t="n">
        <v>-90</v>
      </c>
      <c r="P1327" t="n">
        <v>0.004234</v>
      </c>
      <c r="Q1327" t="n">
        <v>80</v>
      </c>
      <c r="R1327" t="n">
        <v>0.1711</v>
      </c>
      <c r="S1327">
        <f>IMAGE("https://mitra.stanford.edu/kundaje/oak/projects/neuro-variants/variant_position/credible/roussos_2024/variant_figures/roussos_2024.childhood.Astrocyte/rs667282_count_position.png",4,220,900)</f>
        <v/>
      </c>
      <c r="T1327">
        <f>IMAGE("https://mitra.stanford.edu/kundaje/oak/projects/neuro-variants/variant_position/credible/roussos_2024/variant_figures/roussos_2024.childhood.Astrocyte/rs667282_profile_position.png",4,220,900)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0.0220108366</v>
      </c>
      <c r="G1328" t="n">
        <v>0.4845483115613558</v>
      </c>
      <c r="H1328" t="n">
        <v>0.0124060070227397</v>
      </c>
      <c r="I1328" t="n">
        <v>0.4753371891227856</v>
      </c>
      <c r="J1328" t="n">
        <v>0.0359544472685916</v>
      </c>
      <c r="K1328" t="n">
        <v>0.5165238016073184</v>
      </c>
      <c r="L1328" t="b">
        <v>0</v>
      </c>
      <c r="M1328" t="b">
        <v>0</v>
      </c>
      <c r="N1328" t="inlineStr">
        <is>
          <t>alt</t>
        </is>
      </c>
      <c r="O1328" t="n">
        <v>35</v>
      </c>
      <c r="P1328" t="n">
        <v>0.005642</v>
      </c>
      <c r="Q1328" t="n">
        <v>50</v>
      </c>
      <c r="R1328" t="n">
        <v>0.05493</v>
      </c>
      <c r="S1328">
        <f>IMAGE("https://mitra.stanford.edu/kundaje/oak/projects/neuro-variants/variant_position/credible/roussos_2024/variant_figures/roussos_2024.childhood.Astrocyte/rs3743078_count_position.png",4,220,900)</f>
        <v/>
      </c>
      <c r="T1328">
        <f>IMAGE("https://mitra.stanford.edu/kundaje/oak/projects/neuro-variants/variant_position/credible/roussos_2024/variant_figures/roussos_2024.childhood.Astrocyte/rs3743078_profile_position.png",4,220,900)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-0.06354169</v>
      </c>
      <c r="G1329" t="n">
        <v>0.1529118830853878</v>
      </c>
      <c r="H1329" t="n">
        <v>0.0126291386891019</v>
      </c>
      <c r="I1329" t="n">
        <v>0.4617374128478024</v>
      </c>
      <c r="J1329" t="n">
        <v>0.3802859258241549</v>
      </c>
      <c r="K1329" t="n">
        <v>0.09446369211589099</v>
      </c>
      <c r="L1329" t="b">
        <v>0</v>
      </c>
      <c r="M1329" t="b">
        <v>0</v>
      </c>
      <c r="N1329" t="inlineStr">
        <is>
          <t>ref</t>
        </is>
      </c>
      <c r="O1329" t="n">
        <v>-65</v>
      </c>
      <c r="P1329" t="n">
        <v>0.002892</v>
      </c>
      <c r="Q1329" t="n">
        <v>-70</v>
      </c>
      <c r="R1329" t="n">
        <v>0.09984999999999999</v>
      </c>
      <c r="S1329">
        <f>IMAGE("https://mitra.stanford.edu/kundaje/oak/projects/neuro-variants/variant_position/credible/roussos_2024/variant_figures/roussos_2024.childhood.Astrocyte/rs3825845_count_position.png",4,220,900)</f>
        <v/>
      </c>
      <c r="T1329">
        <f>IMAGE("https://mitra.stanford.edu/kundaje/oak/projects/neuro-variants/variant_position/credible/roussos_2024/variant_figures/roussos_2024.childhood.Astrocyte/rs3825845_profile_position.png",4,220,900)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0.0603843469999999</v>
      </c>
      <c r="G1330" t="n">
        <v>0.1787117910760938</v>
      </c>
      <c r="H1330" t="n">
        <v>0.0099819968795519</v>
      </c>
      <c r="I1330" t="n">
        <v>0.7160573851229359</v>
      </c>
      <c r="J1330" t="n">
        <v>0.0264821048292917</v>
      </c>
      <c r="K1330" t="n">
        <v>0.5753731808623263</v>
      </c>
      <c r="L1330" t="b">
        <v>0</v>
      </c>
      <c r="M1330" t="b">
        <v>0</v>
      </c>
      <c r="N1330" t="inlineStr">
        <is>
          <t>alt</t>
        </is>
      </c>
      <c r="O1330" t="n">
        <v>-15</v>
      </c>
      <c r="P1330" t="n">
        <v>0.000656</v>
      </c>
      <c r="Q1330" t="n">
        <v>60</v>
      </c>
      <c r="R1330" t="n">
        <v>0.1322</v>
      </c>
      <c r="S1330">
        <f>IMAGE("https://mitra.stanford.edu/kundaje/oak/projects/neuro-variants/variant_position/credible/roussos_2024/variant_figures/roussos_2024.childhood.Astrocyte/rs698500_count_position.png",4,220,900)</f>
        <v/>
      </c>
      <c r="T1330">
        <f>IMAGE("https://mitra.stanford.edu/kundaje/oak/projects/neuro-variants/variant_position/credible/roussos_2024/variant_figures/roussos_2024.childhood.Astrocyte/rs698500_profile_position.png",4,220,900)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0.0022000895399999</v>
      </c>
      <c r="G1331" t="n">
        <v>0.8929203830142459</v>
      </c>
      <c r="H1331" t="n">
        <v>0.0346011779191805</v>
      </c>
      <c r="I1331" t="n">
        <v>0.0172120699051818</v>
      </c>
      <c r="J1331" t="n">
        <v>0.0017349423339668</v>
      </c>
      <c r="K1331" t="n">
        <v>0.8659191574245143</v>
      </c>
      <c r="L1331" t="b">
        <v>0</v>
      </c>
      <c r="M1331" t="b">
        <v>0</v>
      </c>
      <c r="N1331" t="inlineStr">
        <is>
          <t>alt</t>
        </is>
      </c>
      <c r="O1331" t="n">
        <v>85</v>
      </c>
      <c r="P1331" t="n">
        <v>0.00641</v>
      </c>
      <c r="Q1331" t="n">
        <v>90</v>
      </c>
      <c r="R1331" t="n">
        <v>0.0814</v>
      </c>
      <c r="S1331">
        <f>IMAGE("https://mitra.stanford.edu/kundaje/oak/projects/neuro-variants/variant_position/credible/roussos_2024/variant_figures/roussos_2024.childhood.Astrocyte/rs2678445_count_position.png",4,220,900)</f>
        <v/>
      </c>
      <c r="T1331">
        <f>IMAGE("https://mitra.stanford.edu/kundaje/oak/projects/neuro-variants/variant_position/credible/roussos_2024/variant_figures/roussos_2024.childhood.Astrocyte/rs2678445_profile_position.png",4,220,900)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0.0011195048399999</v>
      </c>
      <c r="G1332" t="n">
        <v>0.8838302414873948</v>
      </c>
      <c r="H1332" t="n">
        <v>0.0090743169380914</v>
      </c>
      <c r="I1332" t="n">
        <v>0.7679170682020089</v>
      </c>
      <c r="J1332" t="n">
        <v>0.0108737300878538</v>
      </c>
      <c r="K1332" t="n">
        <v>0.6859290750061333</v>
      </c>
      <c r="L1332" t="b">
        <v>0</v>
      </c>
      <c r="M1332" t="b">
        <v>0</v>
      </c>
      <c r="N1332" t="inlineStr">
        <is>
          <t>alt</t>
        </is>
      </c>
      <c r="O1332" t="n">
        <v>85</v>
      </c>
      <c r="P1332" t="n">
        <v>0.01166</v>
      </c>
      <c r="Q1332" t="n">
        <v>-100</v>
      </c>
      <c r="R1332" t="n">
        <v>0.02075</v>
      </c>
      <c r="S1332">
        <f>IMAGE("https://mitra.stanford.edu/kundaje/oak/projects/neuro-variants/variant_position/credible/roussos_2024/variant_figures/roussos_2024.childhood.Astrocyte/rs783532_count_position.png",4,220,900)</f>
        <v/>
      </c>
      <c r="T1332">
        <f>IMAGE("https://mitra.stanford.edu/kundaje/oak/projects/neuro-variants/variant_position/credible/roussos_2024/variant_figures/roussos_2024.childhood.Astrocyte/rs783532_profile_position.png",4,220,900)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-0.004397933</v>
      </c>
      <c r="G1333" t="n">
        <v>0.5263413017700671</v>
      </c>
      <c r="H1333" t="n">
        <v>0.0561644417366704</v>
      </c>
      <c r="I1333" t="n">
        <v>0.0025982593117064</v>
      </c>
      <c r="J1333" t="n">
        <v>0.0120774274308656</v>
      </c>
      <c r="K1333" t="n">
        <v>0.671163252627947</v>
      </c>
      <c r="L1333" t="b">
        <v>1</v>
      </c>
      <c r="M1333" t="b">
        <v>0</v>
      </c>
      <c r="N1333" t="inlineStr">
        <is>
          <t>ref</t>
        </is>
      </c>
      <c r="O1333" t="n">
        <v>100</v>
      </c>
      <c r="P1333" t="n">
        <v>0.00464</v>
      </c>
      <c r="Q1333" t="n">
        <v>-70</v>
      </c>
      <c r="R1333" t="n">
        <v>0.0825</v>
      </c>
      <c r="S1333">
        <f>IMAGE("https://mitra.stanford.edu/kundaje/oak/projects/neuro-variants/variant_position/credible/roussos_2024/variant_figures/roussos_2024.childhood.Astrocyte/rs71412256_count_position.png",4,220,900)</f>
        <v/>
      </c>
      <c r="T1333">
        <f>IMAGE("https://mitra.stanford.edu/kundaje/oak/projects/neuro-variants/variant_position/credible/roussos_2024/variant_figures/roussos_2024.childhood.Astrocyte/rs71412256_profile_position.png",4,220,900)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0.1738858794</v>
      </c>
      <c r="G1334" t="n">
        <v>0.0421489872277577</v>
      </c>
      <c r="H1334" t="n">
        <v>0.0544883033339694</v>
      </c>
      <c r="I1334" t="n">
        <v>0.0052808530714699</v>
      </c>
      <c r="J1334" t="n">
        <v>0.0035256043293413</v>
      </c>
      <c r="K1334" t="n">
        <v>0.8379551985007877</v>
      </c>
      <c r="L1334" t="b">
        <v>0</v>
      </c>
      <c r="M1334" t="b">
        <v>0</v>
      </c>
      <c r="N1334" t="inlineStr">
        <is>
          <t>alt</t>
        </is>
      </c>
      <c r="O1334" t="n">
        <v>-95</v>
      </c>
      <c r="P1334" t="n">
        <v>0.002989</v>
      </c>
      <c r="Q1334" t="n">
        <v>-25</v>
      </c>
      <c r="R1334" t="n">
        <v>0.0542</v>
      </c>
      <c r="S1334">
        <f>IMAGE("https://mitra.stanford.edu/kundaje/oak/projects/neuro-variants/variant_position/credible/roussos_2024/variant_figures/roussos_2024.childhood.Astrocyte/rs2567635_count_position.png",4,220,900)</f>
        <v/>
      </c>
      <c r="T1334">
        <f>IMAGE("https://mitra.stanford.edu/kundaje/oak/projects/neuro-variants/variant_position/credible/roussos_2024/variant_figures/roussos_2024.childhood.Astrocyte/rs2567635_profile_position.png",4,220,900)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0.1191344082</v>
      </c>
      <c r="G1335" t="n">
        <v>0.0730437125733574</v>
      </c>
      <c r="H1335" t="n">
        <v>0.0165098833697203</v>
      </c>
      <c r="I1335" t="n">
        <v>0.2301287360319485</v>
      </c>
      <c r="J1335" t="n">
        <v>0.7118392831245753</v>
      </c>
      <c r="K1335" t="n">
        <v>0.0163398255942352</v>
      </c>
      <c r="L1335" t="b">
        <v>0</v>
      </c>
      <c r="M1335" t="b">
        <v>0</v>
      </c>
      <c r="N1335" t="inlineStr">
        <is>
          <t>alt</t>
        </is>
      </c>
      <c r="O1335" t="n">
        <v>-80</v>
      </c>
      <c r="P1335" t="n">
        <v>0.0561</v>
      </c>
      <c r="Q1335" t="n">
        <v>0</v>
      </c>
      <c r="R1335" t="n">
        <v>0</v>
      </c>
      <c r="S1335">
        <f>IMAGE("https://mitra.stanford.edu/kundaje/oak/projects/neuro-variants/variant_position/credible/roussos_2024/variant_figures/roussos_2024.childhood.Astrocyte/rs1269134_count_position.png",4,220,900)</f>
        <v/>
      </c>
      <c r="T1335">
        <f>IMAGE("https://mitra.stanford.edu/kundaje/oak/projects/neuro-variants/variant_position/credible/roussos_2024/variant_figures/roussos_2024.childhood.Astrocyte/rs1269134_profile_position.png",4,220,900)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-0.0228034436</v>
      </c>
      <c r="G1336" t="n">
        <v>0.4887861425471687</v>
      </c>
      <c r="H1336" t="n">
        <v>0.0428636822293738</v>
      </c>
      <c r="I1336" t="n">
        <v>0.0075187728490817</v>
      </c>
      <c r="J1336" t="n">
        <v>0.005018585941853</v>
      </c>
      <c r="K1336" t="n">
        <v>0.7836985113118872</v>
      </c>
      <c r="L1336" t="b">
        <v>0</v>
      </c>
      <c r="M1336" t="b">
        <v>0</v>
      </c>
      <c r="N1336" t="inlineStr">
        <is>
          <t>ref</t>
        </is>
      </c>
      <c r="O1336" t="n">
        <v>-100</v>
      </c>
      <c r="P1336" t="n">
        <v>0.02826</v>
      </c>
      <c r="Q1336" t="n">
        <v>-100</v>
      </c>
      <c r="R1336" t="n">
        <v>0.08105</v>
      </c>
      <c r="S1336">
        <f>IMAGE("https://mitra.stanford.edu/kundaje/oak/projects/neuro-variants/variant_position/credible/roussos_2024/variant_figures/roussos_2024.childhood.Astrocyte/rs28374463_count_position.png",4,220,900)</f>
        <v/>
      </c>
      <c r="T1336">
        <f>IMAGE("https://mitra.stanford.edu/kundaje/oak/projects/neuro-variants/variant_position/credible/roussos_2024/variant_figures/roussos_2024.childhood.Astrocyte/rs28374463_profile_position.png",4,220,900)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-0.1033223162</v>
      </c>
      <c r="G1337" t="n">
        <v>0.0663582182063671</v>
      </c>
      <c r="H1337" t="n">
        <v>0.0234869313875858</v>
      </c>
      <c r="I1337" t="n">
        <v>0.07345255301317639</v>
      </c>
      <c r="J1337" t="n">
        <v>0.0225099799256561</v>
      </c>
      <c r="K1337" t="n">
        <v>0.5891713359494158</v>
      </c>
      <c r="L1337" t="b">
        <v>0</v>
      </c>
      <c r="M1337" t="b">
        <v>0</v>
      </c>
      <c r="N1337" t="inlineStr">
        <is>
          <t>ref</t>
        </is>
      </c>
      <c r="O1337" t="n">
        <v>-100</v>
      </c>
      <c r="P1337" t="n">
        <v>0.1344</v>
      </c>
      <c r="Q1337" t="n">
        <v>-90</v>
      </c>
      <c r="R1337" t="n">
        <v>0.03345</v>
      </c>
      <c r="S1337">
        <f>IMAGE("https://mitra.stanford.edu/kundaje/oak/projects/neuro-variants/variant_position/credible/roussos_2024/variant_figures/roussos_2024.childhood.Astrocyte/rs10906984_count_position.png",4,220,900)</f>
        <v/>
      </c>
      <c r="T1337">
        <f>IMAGE("https://mitra.stanford.edu/kundaje/oak/projects/neuro-variants/variant_position/credible/roussos_2024/variant_figures/roussos_2024.childhood.Astrocyte/rs10906984_profile_position.png",4,220,900)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0.0582271999999999</v>
      </c>
      <c r="G1338" t="n">
        <v>0.1860307487091892</v>
      </c>
      <c r="H1338" t="n">
        <v>0.0227479686913067</v>
      </c>
      <c r="I1338" t="n">
        <v>0.0893381255351107</v>
      </c>
      <c r="J1338" t="n">
        <v>0.3274659766588048</v>
      </c>
      <c r="K1338" t="n">
        <v>0.1176006924777396</v>
      </c>
      <c r="L1338" t="b">
        <v>0</v>
      </c>
      <c r="M1338" t="b">
        <v>0</v>
      </c>
      <c r="N1338" t="inlineStr">
        <is>
          <t>alt</t>
        </is>
      </c>
      <c r="O1338" t="n">
        <v>85</v>
      </c>
      <c r="P1338" t="n">
        <v>0.01869</v>
      </c>
      <c r="Q1338" t="n">
        <v>85</v>
      </c>
      <c r="R1338" t="n">
        <v>0.2468</v>
      </c>
      <c r="S1338">
        <f>IMAGE("https://mitra.stanford.edu/kundaje/oak/projects/neuro-variants/variant_position/credible/roussos_2024/variant_figures/roussos_2024.childhood.Astrocyte/rs9652567_count_position.png",4,220,900)</f>
        <v/>
      </c>
      <c r="T1338">
        <f>IMAGE("https://mitra.stanford.edu/kundaje/oak/projects/neuro-variants/variant_position/credible/roussos_2024/variant_figures/roussos_2024.childhood.Astrocyte/rs9652567_profile_position.png",4,220,900)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0.1000823864</v>
      </c>
      <c r="G1339" t="n">
        <v>0.0686244951339167</v>
      </c>
      <c r="H1339" t="n">
        <v>0.0138466601996764</v>
      </c>
      <c r="I1339" t="n">
        <v>0.3724328270050913</v>
      </c>
      <c r="J1339" t="n">
        <v>0.144871882942914</v>
      </c>
      <c r="K1339" t="n">
        <v>0.2626853972691129</v>
      </c>
      <c r="L1339" t="b">
        <v>0</v>
      </c>
      <c r="M1339" t="b">
        <v>0</v>
      </c>
      <c r="N1339" t="inlineStr">
        <is>
          <t>alt</t>
        </is>
      </c>
      <c r="O1339" t="n">
        <v>-90</v>
      </c>
      <c r="P1339" t="n">
        <v>0.00486</v>
      </c>
      <c r="Q1339" t="n">
        <v>-100</v>
      </c>
      <c r="R1339" t="n">
        <v>0.06525</v>
      </c>
      <c r="S1339">
        <f>IMAGE("https://mitra.stanford.edu/kundaje/oak/projects/neuro-variants/variant_position/credible/roussos_2024/variant_figures/roussos_2024.childhood.Astrocyte/rs4779054_count_position.png",4,220,900)</f>
        <v/>
      </c>
      <c r="T1339">
        <f>IMAGE("https://mitra.stanford.edu/kundaje/oak/projects/neuro-variants/variant_position/credible/roussos_2024/variant_figures/roussos_2024.childhood.Astrocyte/rs4779054_profile_position.png",4,220,900)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-0.0616154214</v>
      </c>
      <c r="G1340" t="n">
        <v>0.1655276930143023</v>
      </c>
      <c r="H1340" t="n">
        <v>0.0107544572396444</v>
      </c>
      <c r="I1340" t="n">
        <v>0.6385619990980524</v>
      </c>
      <c r="J1340" t="n">
        <v>0.0010693595292069</v>
      </c>
      <c r="K1340" t="n">
        <v>0.9016686535035788</v>
      </c>
      <c r="L1340" t="b">
        <v>0</v>
      </c>
      <c r="M1340" t="b">
        <v>0</v>
      </c>
      <c r="N1340" t="inlineStr">
        <is>
          <t>ref</t>
        </is>
      </c>
      <c r="O1340" t="n">
        <v>40</v>
      </c>
      <c r="P1340" t="n">
        <v>0.004173</v>
      </c>
      <c r="Q1340" t="n">
        <v>-50</v>
      </c>
      <c r="R1340" t="n">
        <v>0.07530000000000001</v>
      </c>
      <c r="S1340">
        <f>IMAGE("https://mitra.stanford.edu/kundaje/oak/projects/neuro-variants/variant_position/credible/roussos_2024/variant_figures/roussos_2024.childhood.Astrocyte/rs34921234_count_position.png",4,220,900)</f>
        <v/>
      </c>
      <c r="T1340">
        <f>IMAGE("https://mitra.stanford.edu/kundaje/oak/projects/neuro-variants/variant_position/credible/roussos_2024/variant_figures/roussos_2024.childhood.Astrocyte/rs34921234_profile_position.png",4,220,900)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-0.00561105184</v>
      </c>
      <c r="G1341" t="n">
        <v>0.7474699884612868</v>
      </c>
      <c r="H1341" t="n">
        <v>0.0120021545436166</v>
      </c>
      <c r="I1341" t="n">
        <v>0.513999947222142</v>
      </c>
      <c r="J1341" t="n">
        <v>0.0024356361582437</v>
      </c>
      <c r="K1341" t="n">
        <v>0.8776523226057286</v>
      </c>
      <c r="L1341" t="b">
        <v>0</v>
      </c>
      <c r="M1341" t="b">
        <v>0</v>
      </c>
      <c r="N1341" t="inlineStr">
        <is>
          <t>ref</t>
        </is>
      </c>
      <c r="O1341" t="n">
        <v>70</v>
      </c>
      <c r="P1341" t="n">
        <v>0.008064</v>
      </c>
      <c r="Q1341" t="n">
        <v>-30</v>
      </c>
      <c r="R1341" t="n">
        <v>0.0737</v>
      </c>
      <c r="S1341">
        <f>IMAGE("https://mitra.stanford.edu/kundaje/oak/projects/neuro-variants/variant_position/credible/roussos_2024/variant_figures/roussos_2024.childhood.Astrocyte/rs12902973_count_position.png",4,220,900)</f>
        <v/>
      </c>
      <c r="T1341">
        <f>IMAGE("https://mitra.stanford.edu/kundaje/oak/projects/neuro-variants/variant_position/credible/roussos_2024/variant_figures/roussos_2024.childhood.Astrocyte/rs12902973_profile_position.png",4,220,900)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0.09235490740000001</v>
      </c>
      <c r="G1342" t="n">
        <v>0.0982830879838658</v>
      </c>
      <c r="H1342" t="n">
        <v>0.0262157330610521</v>
      </c>
      <c r="I1342" t="n">
        <v>0.0520865904805722</v>
      </c>
      <c r="J1342" t="n">
        <v>0.2503820231580071</v>
      </c>
      <c r="K1342" t="n">
        <v>0.1649765251311752</v>
      </c>
      <c r="L1342" t="b">
        <v>0</v>
      </c>
      <c r="M1342" t="b">
        <v>0</v>
      </c>
      <c r="N1342" t="inlineStr">
        <is>
          <t>alt</t>
        </is>
      </c>
      <c r="O1342" t="n">
        <v>-100</v>
      </c>
      <c r="P1342" t="n">
        <v>0.0852</v>
      </c>
      <c r="Q1342" t="n">
        <v>-90</v>
      </c>
      <c r="R1342" t="n">
        <v>0.5444</v>
      </c>
      <c r="S1342">
        <f>IMAGE("https://mitra.stanford.edu/kundaje/oak/projects/neuro-variants/variant_position/credible/roussos_2024/variant_figures/roussos_2024.childhood.Astrocyte/rs34973912_count_position.png",4,220,900)</f>
        <v/>
      </c>
      <c r="T1342">
        <f>IMAGE("https://mitra.stanford.edu/kundaje/oak/projects/neuro-variants/variant_position/credible/roussos_2024/variant_figures/roussos_2024.childhood.Astrocyte/rs34973912_profile_position.png",4,220,900)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0.01998792716</v>
      </c>
      <c r="G1343" t="n">
        <v>0.5336871848026851</v>
      </c>
      <c r="H1343" t="n">
        <v>0.0101059731502736</v>
      </c>
      <c r="I1343" t="n">
        <v>0.712959378393844</v>
      </c>
      <c r="J1343" t="n">
        <v>0.6593483089464404</v>
      </c>
      <c r="K1343" t="n">
        <v>0.0236192471352834</v>
      </c>
      <c r="L1343" t="b">
        <v>0</v>
      </c>
      <c r="M1343" t="b">
        <v>0</v>
      </c>
      <c r="N1343" t="inlineStr">
        <is>
          <t>alt</t>
        </is>
      </c>
      <c r="O1343" t="n">
        <v>60</v>
      </c>
      <c r="P1343" t="n">
        <v>0.012726</v>
      </c>
      <c r="Q1343" t="n">
        <v>-100</v>
      </c>
      <c r="R1343" t="n">
        <v>0.1672</v>
      </c>
      <c r="S1343">
        <f>IMAGE("https://mitra.stanford.edu/kundaje/oak/projects/neuro-variants/variant_position/credible/roussos_2024/variant_figures/roussos_2024.childhood.Astrocyte/rs36126054_count_position.png",4,220,900)</f>
        <v/>
      </c>
      <c r="T1343">
        <f>IMAGE("https://mitra.stanford.edu/kundaje/oak/projects/neuro-variants/variant_position/credible/roussos_2024/variant_figures/roussos_2024.childhood.Astrocyte/rs36126054_profile_position.png",4,220,900)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-0.1373140356</v>
      </c>
      <c r="G1344" t="n">
        <v>0.0438143787486452</v>
      </c>
      <c r="H1344" t="n">
        <v>0.0239803230181553</v>
      </c>
      <c r="I1344" t="n">
        <v>0.0694873344697797</v>
      </c>
      <c r="J1344" t="n">
        <v>0.0750589636142977</v>
      </c>
      <c r="K1344" t="n">
        <v>0.3809822814163305</v>
      </c>
      <c r="L1344" t="b">
        <v>0</v>
      </c>
      <c r="M1344" t="b">
        <v>0</v>
      </c>
      <c r="N1344" t="inlineStr">
        <is>
          <t>ref</t>
        </is>
      </c>
      <c r="O1344" t="n">
        <v>70</v>
      </c>
      <c r="P1344" t="n">
        <v>0.00602</v>
      </c>
      <c r="Q1344" t="n">
        <v>30</v>
      </c>
      <c r="R1344" t="n">
        <v>0.1001</v>
      </c>
      <c r="S1344">
        <f>IMAGE("https://mitra.stanford.edu/kundaje/oak/projects/neuro-variants/variant_position/credible/roussos_2024/variant_figures/roussos_2024.childhood.Astrocyte/rs12899981_count_position.png",4,220,900)</f>
        <v/>
      </c>
      <c r="T1344">
        <f>IMAGE("https://mitra.stanford.edu/kundaje/oak/projects/neuro-variants/variant_position/credible/roussos_2024/variant_figures/roussos_2024.childhood.Astrocyte/rs12899981_profile_position.png",4,220,900)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-0.00715368822</v>
      </c>
      <c r="G1345" t="n">
        <v>0.5047479862278307</v>
      </c>
      <c r="H1345" t="n">
        <v>0.0322493672396011</v>
      </c>
      <c r="I1345" t="n">
        <v>0.0239592736629385</v>
      </c>
      <c r="J1345" t="n">
        <v>0.9431170952500896</v>
      </c>
      <c r="K1345" t="n">
        <v>0.0004450021040759</v>
      </c>
      <c r="L1345" t="b">
        <v>0</v>
      </c>
      <c r="M1345" t="b">
        <v>0</v>
      </c>
      <c r="N1345" t="inlineStr">
        <is>
          <t>ref</t>
        </is>
      </c>
      <c r="O1345" t="n">
        <v>75</v>
      </c>
      <c r="P1345" t="n">
        <v>0.1106</v>
      </c>
      <c r="Q1345" t="n">
        <v>75</v>
      </c>
      <c r="R1345" t="n">
        <v>0.66</v>
      </c>
      <c r="S1345">
        <f>IMAGE("https://mitra.stanford.edu/kundaje/oak/projects/neuro-variants/variant_position/credible/roussos_2024/variant_figures/roussos_2024.childhood.Astrocyte/rs7178152_count_position.png",4,220,900)</f>
        <v/>
      </c>
      <c r="T1345">
        <f>IMAGE("https://mitra.stanford.edu/kundaje/oak/projects/neuro-variants/variant_position/credible/roussos_2024/variant_figures/roussos_2024.childhood.Astrocyte/rs7178152_profile_position.png",4,220,900)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0.0968023289999999</v>
      </c>
      <c r="G1346" t="n">
        <v>0.0719264103373158</v>
      </c>
      <c r="H1346" t="n">
        <v>0.0140371661826334</v>
      </c>
      <c r="I1346" t="n">
        <v>0.3539946579397676</v>
      </c>
      <c r="J1346" t="n">
        <v>0.0012395716455618</v>
      </c>
      <c r="K1346" t="n">
        <v>0.8935634168950959</v>
      </c>
      <c r="L1346" t="b">
        <v>0</v>
      </c>
      <c r="M1346" t="b">
        <v>0</v>
      </c>
      <c r="N1346" t="inlineStr">
        <is>
          <t>alt</t>
        </is>
      </c>
      <c r="O1346" t="n">
        <v>-70</v>
      </c>
      <c r="P1346" t="n">
        <v>0.0222</v>
      </c>
      <c r="Q1346" t="n">
        <v>-90</v>
      </c>
      <c r="R1346" t="n">
        <v>0.1661</v>
      </c>
      <c r="S1346">
        <f>IMAGE("https://mitra.stanford.edu/kundaje/oak/projects/neuro-variants/variant_position/credible/roussos_2024/variant_figures/roussos_2024.childhood.Astrocyte/rs2108600_count_position.png",4,220,900)</f>
        <v/>
      </c>
      <c r="T1346">
        <f>IMAGE("https://mitra.stanford.edu/kundaje/oak/projects/neuro-variants/variant_position/credible/roussos_2024/variant_figures/roussos_2024.childhood.Astrocyte/rs2108600_profile_position.png",4,220,900)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0.00520276954</v>
      </c>
      <c r="G1347" t="n">
        <v>0.804047877598968</v>
      </c>
      <c r="H1347" t="n">
        <v>0.0237036065658929</v>
      </c>
      <c r="I1347" t="n">
        <v>0.0707719347509027</v>
      </c>
      <c r="J1347" t="n">
        <v>0.0006709257859906</v>
      </c>
      <c r="K1347" t="n">
        <v>0.9288988670542556</v>
      </c>
      <c r="L1347" t="b">
        <v>0</v>
      </c>
      <c r="M1347" t="b">
        <v>0</v>
      </c>
      <c r="N1347" t="inlineStr">
        <is>
          <t>alt</t>
        </is>
      </c>
      <c r="O1347" t="n">
        <v>55</v>
      </c>
      <c r="P1347" t="n">
        <v>0.004833</v>
      </c>
      <c r="Q1347" t="n">
        <v>5</v>
      </c>
      <c r="R1347" t="n">
        <v>0.02423</v>
      </c>
      <c r="S1347">
        <f>IMAGE("https://mitra.stanford.edu/kundaje/oak/projects/neuro-variants/variant_position/credible/roussos_2024/variant_figures/roussos_2024.childhood.Astrocyte/rs6496569_count_position.png",4,220,900)</f>
        <v/>
      </c>
      <c r="T1347">
        <f>IMAGE("https://mitra.stanford.edu/kundaje/oak/projects/neuro-variants/variant_position/credible/roussos_2024/variant_figures/roussos_2024.childhood.Astrocyte/rs6496569_profile_position.png",4,220,900)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0.0632789884</v>
      </c>
      <c r="G1348" t="n">
        <v>0.1569532626145587</v>
      </c>
      <c r="H1348" t="n">
        <v>0.0160737343239191</v>
      </c>
      <c r="I1348" t="n">
        <v>0.2452276059415298</v>
      </c>
      <c r="J1348" t="n">
        <v>0.1523581629303962</v>
      </c>
      <c r="K1348" t="n">
        <v>0.2493678361132448</v>
      </c>
      <c r="L1348" t="b">
        <v>0</v>
      </c>
      <c r="M1348" t="b">
        <v>0</v>
      </c>
      <c r="N1348" t="inlineStr">
        <is>
          <t>alt</t>
        </is>
      </c>
      <c r="O1348" t="n">
        <v>85</v>
      </c>
      <c r="P1348" t="n">
        <v>0.02025</v>
      </c>
      <c r="Q1348" t="n">
        <v>80</v>
      </c>
      <c r="R1348" t="n">
        <v>0.165</v>
      </c>
      <c r="S1348">
        <f>IMAGE("https://mitra.stanford.edu/kundaje/oak/projects/neuro-variants/variant_position/credible/roussos_2024/variant_figures/roussos_2024.childhood.Astrocyte/rs7168951_count_position.png",4,220,900)</f>
        <v/>
      </c>
      <c r="T1348">
        <f>IMAGE("https://mitra.stanford.edu/kundaje/oak/projects/neuro-variants/variant_position/credible/roussos_2024/variant_figures/roussos_2024.childhood.Astrocyte/rs7168951_profile_position.png",4,220,900)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0.0072733268399999</v>
      </c>
      <c r="G1349" t="n">
        <v>0.7094896373892204</v>
      </c>
      <c r="H1349" t="n">
        <v>0.0242538345364208</v>
      </c>
      <c r="I1349" t="n">
        <v>0.0662373680718901</v>
      </c>
      <c r="J1349" t="n">
        <v>0.1696846877790753</v>
      </c>
      <c r="K1349" t="n">
        <v>0.2295054861322299</v>
      </c>
      <c r="L1349" t="b">
        <v>0</v>
      </c>
      <c r="M1349" t="b">
        <v>0</v>
      </c>
      <c r="N1349" t="inlineStr">
        <is>
          <t>alt</t>
        </is>
      </c>
      <c r="O1349" t="n">
        <v>-10</v>
      </c>
      <c r="P1349" t="n">
        <v>0.001465</v>
      </c>
      <c r="Q1349" t="n">
        <v>-15</v>
      </c>
      <c r="R1349" t="n">
        <v>0.05542</v>
      </c>
      <c r="S1349">
        <f>IMAGE("https://mitra.stanford.edu/kundaje/oak/projects/neuro-variants/variant_position/credible/roussos_2024/variant_figures/roussos_2024.childhood.Astrocyte/rs3759929_count_position.png",4,220,900)</f>
        <v/>
      </c>
      <c r="T1349">
        <f>IMAGE("https://mitra.stanford.edu/kundaje/oak/projects/neuro-variants/variant_position/credible/roussos_2024/variant_figures/roussos_2024.childhood.Astrocyte/rs3759929_profile_position.png",4,220,900)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0.230430482</v>
      </c>
      <c r="G1350" t="n">
        <v>0.011170176507198</v>
      </c>
      <c r="H1350" t="n">
        <v>0.029300367198043</v>
      </c>
      <c r="I1350" t="n">
        <v>0.0345207309839436</v>
      </c>
      <c r="J1350" t="n">
        <v>0.0567447505209406</v>
      </c>
      <c r="K1350" t="n">
        <v>0.4227180424924532</v>
      </c>
      <c r="L1350" t="b">
        <v>1</v>
      </c>
      <c r="M1350" t="b">
        <v>0</v>
      </c>
      <c r="N1350" t="inlineStr">
        <is>
          <t>alt</t>
        </is>
      </c>
      <c r="O1350" t="n">
        <v>-15</v>
      </c>
      <c r="P1350" t="n">
        <v>0.001114</v>
      </c>
      <c r="Q1350" t="n">
        <v>-100</v>
      </c>
      <c r="R1350" t="n">
        <v>0.209</v>
      </c>
      <c r="S1350">
        <f>IMAGE("https://mitra.stanford.edu/kundaje/oak/projects/neuro-variants/variant_position/credible/roussos_2024/variant_figures/roussos_2024.childhood.Astrocyte/rs8037254_count_position.png",4,220,900)</f>
        <v/>
      </c>
      <c r="T1350">
        <f>IMAGE("https://mitra.stanford.edu/kundaje/oak/projects/neuro-variants/variant_position/credible/roussos_2024/variant_figures/roussos_2024.childhood.Astrocyte/rs8037254_profile_position.png",4,220,900)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-0.0242699657999999</v>
      </c>
      <c r="G1351" t="n">
        <v>0.4629657087204922</v>
      </c>
      <c r="H1351" t="n">
        <v>0.012159768895171</v>
      </c>
      <c r="I1351" t="n">
        <v>0.5036023432730444</v>
      </c>
      <c r="J1351" t="n">
        <v>0.0355567768084082</v>
      </c>
      <c r="K1351" t="n">
        <v>0.5111127708321097</v>
      </c>
      <c r="L1351" t="b">
        <v>0</v>
      </c>
      <c r="M1351" t="b">
        <v>0</v>
      </c>
      <c r="N1351" t="inlineStr">
        <is>
          <t>ref</t>
        </is>
      </c>
      <c r="O1351" t="n">
        <v>25</v>
      </c>
      <c r="P1351" t="n">
        <v>0.001465</v>
      </c>
      <c r="Q1351" t="n">
        <v>100</v>
      </c>
      <c r="R1351" t="n">
        <v>0.1527</v>
      </c>
      <c r="S1351">
        <f>IMAGE("https://mitra.stanford.edu/kundaje/oak/projects/neuro-variants/variant_position/credible/roussos_2024/variant_figures/roussos_2024.childhood.Astrocyte/rs12595052_count_position.png",4,220,900)</f>
        <v/>
      </c>
      <c r="T1351">
        <f>IMAGE("https://mitra.stanford.edu/kundaje/oak/projects/neuro-variants/variant_position/credible/roussos_2024/variant_figures/roussos_2024.childhood.Astrocyte/rs12595052_profile_position.png",4,220,900)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0.0367200604</v>
      </c>
      <c r="G1352" t="n">
        <v>0.3200368434805467</v>
      </c>
      <c r="H1352" t="n">
        <v>0.0145953198248679</v>
      </c>
      <c r="I1352" t="n">
        <v>0.3344204080365061</v>
      </c>
      <c r="J1352" t="n">
        <v>0.2999793913581094</v>
      </c>
      <c r="K1352" t="n">
        <v>0.1328010699123208</v>
      </c>
      <c r="L1352" t="b">
        <v>0</v>
      </c>
      <c r="M1352" t="b">
        <v>0</v>
      </c>
      <c r="N1352" t="inlineStr">
        <is>
          <t>alt</t>
        </is>
      </c>
      <c r="O1352" t="n">
        <v>65</v>
      </c>
      <c r="P1352" t="n">
        <v>0.003155</v>
      </c>
      <c r="Q1352" t="n">
        <v>-100</v>
      </c>
      <c r="R1352" t="n">
        <v>0.0941</v>
      </c>
      <c r="S1352">
        <f>IMAGE("https://mitra.stanford.edu/kundaje/oak/projects/neuro-variants/variant_position/credible/roussos_2024/variant_figures/roussos_2024.childhood.Astrocyte/rs11632664_count_position.png",4,220,900)</f>
        <v/>
      </c>
      <c r="T1352">
        <f>IMAGE("https://mitra.stanford.edu/kundaje/oak/projects/neuro-variants/variant_position/credible/roussos_2024/variant_figures/roussos_2024.childhood.Astrocyte/rs11632664_profile_position.png",4,220,900)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-0.14450696</v>
      </c>
      <c r="G1353" t="n">
        <v>0.0376842192748633</v>
      </c>
      <c r="H1353" t="n">
        <v>0.0148190742558987</v>
      </c>
      <c r="I1353" t="n">
        <v>0.3045550036265865</v>
      </c>
      <c r="J1353" t="n">
        <v>0.06337081053025261</v>
      </c>
      <c r="K1353" t="n">
        <v>0.409714415967894</v>
      </c>
      <c r="L1353" t="b">
        <v>0</v>
      </c>
      <c r="M1353" t="b">
        <v>0</v>
      </c>
      <c r="N1353" t="inlineStr">
        <is>
          <t>ref</t>
        </is>
      </c>
      <c r="O1353" t="n">
        <v>-30</v>
      </c>
      <c r="P1353" t="n">
        <v>0.003143</v>
      </c>
      <c r="Q1353" t="n">
        <v>-15</v>
      </c>
      <c r="R1353" t="n">
        <v>0.0464</v>
      </c>
      <c r="S1353">
        <f>IMAGE("https://mitra.stanford.edu/kundaje/oak/projects/neuro-variants/variant_position/credible/roussos_2024/variant_figures/roussos_2024.childhood.Astrocyte/rs111548674_count_position.png",4,220,900)</f>
        <v/>
      </c>
      <c r="T1353">
        <f>IMAGE("https://mitra.stanford.edu/kundaje/oak/projects/neuro-variants/variant_position/credible/roussos_2024/variant_figures/roussos_2024.childhood.Astrocyte/rs111548674_profile_position.png",4,220,900)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0.0836540366</v>
      </c>
      <c r="G1354" t="n">
        <v>0.1019905981263951</v>
      </c>
      <c r="H1354" t="n">
        <v>0.0150944309557887</v>
      </c>
      <c r="I1354" t="n">
        <v>0.2948270700921478</v>
      </c>
      <c r="J1354" t="n">
        <v>0.064098219260684</v>
      </c>
      <c r="K1354" t="n">
        <v>0.4089307104669637</v>
      </c>
      <c r="L1354" t="b">
        <v>0</v>
      </c>
      <c r="M1354" t="b">
        <v>0</v>
      </c>
      <c r="N1354" t="inlineStr">
        <is>
          <t>alt</t>
        </is>
      </c>
      <c r="O1354" t="n">
        <v>-90</v>
      </c>
      <c r="P1354" t="n">
        <v>0.04938</v>
      </c>
      <c r="Q1354" t="n">
        <v>-55</v>
      </c>
      <c r="R1354" t="n">
        <v>0.10925</v>
      </c>
      <c r="S1354">
        <f>IMAGE("https://mitra.stanford.edu/kundaje/oak/projects/neuro-variants/variant_position/credible/roussos_2024/variant_figures/roussos_2024.childhood.Astrocyte/rs11073569_count_position.png",4,220,900)</f>
        <v/>
      </c>
      <c r="T1354">
        <f>IMAGE("https://mitra.stanford.edu/kundaje/oak/projects/neuro-variants/variant_position/credible/roussos_2024/variant_figures/roussos_2024.childhood.Astrocyte/rs11073569_profile_position.png",4,220,900)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-0.128169792</v>
      </c>
      <c r="G1355" t="n">
        <v>0.0504806120986869</v>
      </c>
      <c r="H1355" t="n">
        <v>0.0179059233048884</v>
      </c>
      <c r="I1355" t="n">
        <v>0.1836156649940863</v>
      </c>
      <c r="J1355" t="n">
        <v>0.008557929365787999</v>
      </c>
      <c r="K1355" t="n">
        <v>0.7382290576636433</v>
      </c>
      <c r="L1355" t="b">
        <v>0</v>
      </c>
      <c r="M1355" t="b">
        <v>0</v>
      </c>
      <c r="N1355" t="inlineStr">
        <is>
          <t>ref</t>
        </is>
      </c>
      <c r="O1355" t="n">
        <v>90</v>
      </c>
      <c r="P1355" t="n">
        <v>0.003372</v>
      </c>
      <c r="Q1355" t="n">
        <v>-100</v>
      </c>
      <c r="R1355" t="n">
        <v>0.1965</v>
      </c>
      <c r="S1355">
        <f>IMAGE("https://mitra.stanford.edu/kundaje/oak/projects/neuro-variants/variant_position/credible/roussos_2024/variant_figures/roussos_2024.childhood.Astrocyte/rs12908536_count_position.png",4,220,900)</f>
        <v/>
      </c>
      <c r="T1355">
        <f>IMAGE("https://mitra.stanford.edu/kundaje/oak/projects/neuro-variants/variant_position/credible/roussos_2024/variant_figures/roussos_2024.childhood.Astrocyte/rs12908536_profile_position.png",4,220,900)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-0.192794622</v>
      </c>
      <c r="G1356" t="n">
        <v>0.019863151388008</v>
      </c>
      <c r="H1356" t="n">
        <v>0.0270798560207875</v>
      </c>
      <c r="I1356" t="n">
        <v>0.0445565056537012</v>
      </c>
      <c r="J1356" t="n">
        <v>0.6030470258676621</v>
      </c>
      <c r="K1356" t="n">
        <v>0.0333541481707485</v>
      </c>
      <c r="L1356" t="b">
        <v>1</v>
      </c>
      <c r="M1356" t="b">
        <v>0</v>
      </c>
      <c r="N1356" t="inlineStr">
        <is>
          <t>ref</t>
        </is>
      </c>
      <c r="O1356" t="n">
        <v>-100</v>
      </c>
      <c r="P1356" t="n">
        <v>0.012375</v>
      </c>
      <c r="Q1356" t="n">
        <v>-90</v>
      </c>
      <c r="R1356" t="n">
        <v>0.2212</v>
      </c>
      <c r="S1356">
        <f>IMAGE("https://mitra.stanford.edu/kundaje/oak/projects/neuro-variants/variant_position/credible/roussos_2024/variant_figures/roussos_2024.childhood.Astrocyte/rs59251433_count_position.png",4,220,900)</f>
        <v/>
      </c>
      <c r="T1356">
        <f>IMAGE("https://mitra.stanford.edu/kundaje/oak/projects/neuro-variants/variant_position/credible/roussos_2024/variant_figures/roussos_2024.childhood.Astrocyte/rs59251433_profile_position.png",4,220,900)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-0.0096601569999999</v>
      </c>
      <c r="G1357" t="n">
        <v>0.6634534532841171</v>
      </c>
      <c r="H1357" t="n">
        <v>0.0256758105062938</v>
      </c>
      <c r="I1357" t="n">
        <v>0.0529892260582514</v>
      </c>
      <c r="J1357" t="n">
        <v>0.0683039087724118</v>
      </c>
      <c r="K1357" t="n">
        <v>0.3919080307691729</v>
      </c>
      <c r="L1357" t="b">
        <v>0</v>
      </c>
      <c r="M1357" t="b">
        <v>0</v>
      </c>
      <c r="N1357" t="inlineStr">
        <is>
          <t>ref</t>
        </is>
      </c>
      <c r="O1357" t="n">
        <v>-80</v>
      </c>
      <c r="P1357" t="n">
        <v>0.0788</v>
      </c>
      <c r="Q1357" t="n">
        <v>-80</v>
      </c>
      <c r="R1357" t="n">
        <v>0.663</v>
      </c>
      <c r="S1357">
        <f>IMAGE("https://mitra.stanford.edu/kundaje/oak/projects/neuro-variants/variant_position/credible/roussos_2024/variant_figures/roussos_2024.childhood.Astrocyte/rs189443571_count_position.png",4,220,900)</f>
        <v/>
      </c>
      <c r="T1357">
        <f>IMAGE("https://mitra.stanford.edu/kundaje/oak/projects/neuro-variants/variant_position/credible/roussos_2024/variant_figures/roussos_2024.childhood.Astrocyte/rs189443571_profile_position.png",4,220,900)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0.123097218</v>
      </c>
      <c r="G1358" t="n">
        <v>0.0458599701879271</v>
      </c>
      <c r="H1358" t="n">
        <v>0.0163089823514434</v>
      </c>
      <c r="I1358" t="n">
        <v>0.2343047493334794</v>
      </c>
      <c r="J1358" t="n">
        <v>0.0445169563325776</v>
      </c>
      <c r="K1358" t="n">
        <v>0.4784887571398303</v>
      </c>
      <c r="L1358" t="b">
        <v>0</v>
      </c>
      <c r="M1358" t="b">
        <v>0</v>
      </c>
      <c r="N1358" t="inlineStr">
        <is>
          <t>alt</t>
        </is>
      </c>
      <c r="O1358" t="n">
        <v>-100</v>
      </c>
      <c r="P1358" t="n">
        <v>0.0848</v>
      </c>
      <c r="Q1358" t="n">
        <v>-100</v>
      </c>
      <c r="R1358" t="n">
        <v>0.04156</v>
      </c>
      <c r="S1358">
        <f>IMAGE("https://mitra.stanford.edu/kundaje/oak/projects/neuro-variants/variant_position/credible/roussos_2024/variant_figures/roussos_2024.childhood.Astrocyte/rs73470164_count_position.png",4,220,900)</f>
        <v/>
      </c>
      <c r="T1358">
        <f>IMAGE("https://mitra.stanford.edu/kundaje/oak/projects/neuro-variants/variant_position/credible/roussos_2024/variant_figures/roussos_2024.childhood.Astrocyte/rs73470164_profile_position.png",4,220,900)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0.00296772112</v>
      </c>
      <c r="G1359" t="n">
        <v>0.645816701583197</v>
      </c>
      <c r="H1359" t="n">
        <v>0.011206283197457</v>
      </c>
      <c r="I1359" t="n">
        <v>0.5858931829026482</v>
      </c>
      <c r="J1359" t="n">
        <v>0.6322410753131369</v>
      </c>
      <c r="K1359" t="n">
        <v>0.0273982941854709</v>
      </c>
      <c r="L1359" t="b">
        <v>0</v>
      </c>
      <c r="M1359" t="b">
        <v>0</v>
      </c>
      <c r="N1359" t="inlineStr">
        <is>
          <t>alt</t>
        </is>
      </c>
      <c r="O1359" t="n">
        <v>100</v>
      </c>
      <c r="P1359" t="n">
        <v>0.009346</v>
      </c>
      <c r="Q1359" t="n">
        <v>100</v>
      </c>
      <c r="R1359" t="n">
        <v>0.2651</v>
      </c>
      <c r="S1359">
        <f>IMAGE("https://mitra.stanford.edu/kundaje/oak/projects/neuro-variants/variant_position/credible/roussos_2024/variant_figures/roussos_2024.childhood.Astrocyte/rs4786488_count_position.png",4,220,900)</f>
        <v/>
      </c>
      <c r="T1359">
        <f>IMAGE("https://mitra.stanford.edu/kundaje/oak/projects/neuro-variants/variant_position/credible/roussos_2024/variant_figures/roussos_2024.childhood.Astrocyte/rs4786488_profile_position.png",4,220,900)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-0.03267920614</v>
      </c>
      <c r="G1360" t="n">
        <v>0.370004718968829</v>
      </c>
      <c r="H1360" t="n">
        <v>0.0109552822097901</v>
      </c>
      <c r="I1360" t="n">
        <v>0.6087053363208634</v>
      </c>
      <c r="J1360" t="n">
        <v>0.254751818521826</v>
      </c>
      <c r="K1360" t="n">
        <v>0.1608369158561476</v>
      </c>
      <c r="L1360" t="b">
        <v>0</v>
      </c>
      <c r="M1360" t="b">
        <v>0</v>
      </c>
      <c r="N1360" t="inlineStr">
        <is>
          <t>ref</t>
        </is>
      </c>
      <c r="O1360" t="n">
        <v>70</v>
      </c>
      <c r="P1360" t="n">
        <v>0.003098</v>
      </c>
      <c r="Q1360" t="n">
        <v>-100</v>
      </c>
      <c r="R1360" t="n">
        <v>0.418</v>
      </c>
      <c r="S1360">
        <f>IMAGE("https://mitra.stanford.edu/kundaje/oak/projects/neuro-variants/variant_position/credible/roussos_2024/variant_figures/roussos_2024.childhood.Astrocyte/rs6500602_count_position.png",4,220,900)</f>
        <v/>
      </c>
      <c r="T1360">
        <f>IMAGE("https://mitra.stanford.edu/kundaje/oak/projects/neuro-variants/variant_position/credible/roussos_2024/variant_figures/roussos_2024.childhood.Astrocyte/rs6500602_profile_position.png",4,220,900)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-0.122531446</v>
      </c>
      <c r="G1361" t="n">
        <v>0.0559956289019184</v>
      </c>
      <c r="H1361" t="n">
        <v>0.0185703266185274</v>
      </c>
      <c r="I1361" t="n">
        <v>0.1614629061346637</v>
      </c>
      <c r="J1361" t="n">
        <v>0.0130857243174341</v>
      </c>
      <c r="K1361" t="n">
        <v>0.6536087844076943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0.007477</v>
      </c>
      <c r="Q1361" t="n">
        <v>-80</v>
      </c>
      <c r="R1361" t="n">
        <v>0.06494</v>
      </c>
      <c r="S1361">
        <f>IMAGE("https://mitra.stanford.edu/kundaje/oak/projects/neuro-variants/variant_position/credible/roussos_2024/variant_figures/roussos_2024.childhood.Astrocyte/rs6500606_count_position.png",4,220,900)</f>
        <v/>
      </c>
      <c r="T1361">
        <f>IMAGE("https://mitra.stanford.edu/kundaje/oak/projects/neuro-variants/variant_position/credible/roussos_2024/variant_figures/roussos_2024.childhood.Astrocyte/rs6500606_profile_position.png",4,220,900)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0.0214379438</v>
      </c>
      <c r="G1362" t="n">
        <v>0.4909723255959633</v>
      </c>
      <c r="H1362" t="n">
        <v>0.0457808507011493</v>
      </c>
      <c r="I1362" t="n">
        <v>0.0057488479337866</v>
      </c>
      <c r="J1362" t="n">
        <v>0.0119827803347759</v>
      </c>
      <c r="K1362" t="n">
        <v>0.672143556460426</v>
      </c>
      <c r="L1362" t="b">
        <v>1</v>
      </c>
      <c r="M1362" t="b">
        <v>0</v>
      </c>
      <c r="N1362" t="inlineStr">
        <is>
          <t>alt</t>
        </is>
      </c>
      <c r="O1362" t="n">
        <v>-100</v>
      </c>
      <c r="P1362" t="n">
        <v>0.1155</v>
      </c>
      <c r="Q1362" t="n">
        <v>-100</v>
      </c>
      <c r="R1362" t="n">
        <v>0.1843</v>
      </c>
      <c r="S1362">
        <f>IMAGE("https://mitra.stanford.edu/kundaje/oak/projects/neuro-variants/variant_position/credible/roussos_2024/variant_figures/roussos_2024.childhood.Astrocyte/rs11076833_count_position.png",4,220,900)</f>
        <v/>
      </c>
      <c r="T1362">
        <f>IMAGE("https://mitra.stanford.edu/kundaje/oak/projects/neuro-variants/variant_position/credible/roussos_2024/variant_figures/roussos_2024.childhood.Astrocyte/rs11076833_profile_position.png",4,220,900)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0.01879696836</v>
      </c>
      <c r="G1363" t="n">
        <v>0.557825159510229</v>
      </c>
      <c r="H1363" t="n">
        <v>0.0096631952194108</v>
      </c>
      <c r="I1363" t="n">
        <v>0.750727523782988</v>
      </c>
      <c r="J1363" t="n">
        <v>0.092628975750498</v>
      </c>
      <c r="K1363" t="n">
        <v>0.3449872887644054</v>
      </c>
      <c r="L1363" t="b">
        <v>0</v>
      </c>
      <c r="M1363" t="b">
        <v>0</v>
      </c>
      <c r="N1363" t="inlineStr">
        <is>
          <t>alt</t>
        </is>
      </c>
      <c r="O1363" t="n">
        <v>85</v>
      </c>
      <c r="P1363" t="n">
        <v>0.006485</v>
      </c>
      <c r="Q1363" t="n">
        <v>25</v>
      </c>
      <c r="R1363" t="n">
        <v>0.00873</v>
      </c>
      <c r="S1363">
        <f>IMAGE("https://mitra.stanford.edu/kundaje/oak/projects/neuro-variants/variant_position/credible/roussos_2024/variant_figures/roussos_2024.childhood.Astrocyte/rs4786501_count_position.png",4,220,900)</f>
        <v/>
      </c>
      <c r="T1363">
        <f>IMAGE("https://mitra.stanford.edu/kundaje/oak/projects/neuro-variants/variant_position/credible/roussos_2024/variant_figures/roussos_2024.childhood.Astrocyte/rs4786501_profile_position.png",4,220,900)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-0.0354138442</v>
      </c>
      <c r="G1364" t="n">
        <v>0.3398504619422788</v>
      </c>
      <c r="H1364" t="n">
        <v>0.0314065551394803</v>
      </c>
      <c r="I1364" t="n">
        <v>0.02491986214794</v>
      </c>
      <c r="J1364" t="n">
        <v>0.0322105439918175</v>
      </c>
      <c r="K1364" t="n">
        <v>0.5373935184105331</v>
      </c>
      <c r="L1364" t="b">
        <v>0</v>
      </c>
      <c r="M1364" t="b">
        <v>0</v>
      </c>
      <c r="N1364" t="inlineStr">
        <is>
          <t>ref</t>
        </is>
      </c>
      <c r="O1364" t="n">
        <v>35</v>
      </c>
      <c r="P1364" t="n">
        <v>0.01204</v>
      </c>
      <c r="Q1364" t="n">
        <v>-100</v>
      </c>
      <c r="R1364" t="n">
        <v>0.1561</v>
      </c>
      <c r="S1364">
        <f>IMAGE("https://mitra.stanford.edu/kundaje/oak/projects/neuro-variants/variant_position/credible/roussos_2024/variant_figures/roussos_2024.childhood.Astrocyte/rs4786502_count_position.png",4,220,900)</f>
        <v/>
      </c>
      <c r="T1364">
        <f>IMAGE("https://mitra.stanford.edu/kundaje/oak/projects/neuro-variants/variant_position/credible/roussos_2024/variant_figures/roussos_2024.childhood.Astrocyte/rs4786502_profile_position.png",4,220,900)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-0.106194246</v>
      </c>
      <c r="G1365" t="n">
        <v>0.0737366314107061</v>
      </c>
      <c r="H1365" t="n">
        <v>0.0207988199173115</v>
      </c>
      <c r="I1365" t="n">
        <v>0.1185353709932832</v>
      </c>
      <c r="J1365" t="n">
        <v>0.0236785662491508</v>
      </c>
      <c r="K1365" t="n">
        <v>0.5838796472598287</v>
      </c>
      <c r="L1365" t="b">
        <v>0</v>
      </c>
      <c r="M1365" t="b">
        <v>0</v>
      </c>
      <c r="N1365" t="inlineStr">
        <is>
          <t>ref</t>
        </is>
      </c>
      <c r="O1365" t="n">
        <v>25</v>
      </c>
      <c r="P1365" t="n">
        <v>0.02434</v>
      </c>
      <c r="Q1365" t="n">
        <v>-70</v>
      </c>
      <c r="R1365" t="n">
        <v>0.1244</v>
      </c>
      <c r="S1365">
        <f>IMAGE("https://mitra.stanford.edu/kundaje/oak/projects/neuro-variants/variant_position/credible/roussos_2024/variant_figures/roussos_2024.childhood.Astrocyte/rs2270366_count_position.png",4,220,900)</f>
        <v/>
      </c>
      <c r="T1365">
        <f>IMAGE("https://mitra.stanford.edu/kundaje/oak/projects/neuro-variants/variant_position/credible/roussos_2024/variant_figures/roussos_2024.childhood.Astrocyte/rs2270366_profile_position.png",4,220,900)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-0.0772698528</v>
      </c>
      <c r="G1366" t="n">
        <v>0.1129741093835027</v>
      </c>
      <c r="H1366" t="n">
        <v>0.0111182002247177</v>
      </c>
      <c r="I1366" t="n">
        <v>0.5988953637742769</v>
      </c>
      <c r="J1366" t="n">
        <v>0.1531306053597734</v>
      </c>
      <c r="K1366" t="n">
        <v>0.2484257151447926</v>
      </c>
      <c r="L1366" t="b">
        <v>0</v>
      </c>
      <c r="M1366" t="b">
        <v>0</v>
      </c>
      <c r="N1366" t="inlineStr">
        <is>
          <t>ref</t>
        </is>
      </c>
      <c r="O1366" t="n">
        <v>-95</v>
      </c>
      <c r="P1366" t="n">
        <v>0.00511</v>
      </c>
      <c r="Q1366" t="n">
        <v>-50</v>
      </c>
      <c r="R1366" t="n">
        <v>0.04443</v>
      </c>
      <c r="S1366">
        <f>IMAGE("https://mitra.stanford.edu/kundaje/oak/projects/neuro-variants/variant_position/credible/roussos_2024/variant_figures/roussos_2024.childhood.Astrocyte/rs1051308_count_position.png",4,220,900)</f>
        <v/>
      </c>
      <c r="T1366">
        <f>IMAGE("https://mitra.stanford.edu/kundaje/oak/projects/neuro-variants/variant_position/credible/roussos_2024/variant_figures/roussos_2024.childhood.Astrocyte/rs1051308_profile_position.png",4,220,900)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-0.0565056592</v>
      </c>
      <c r="G1367" t="n">
        <v>0.2041394032953474</v>
      </c>
      <c r="H1367" t="n">
        <v>0.0136274421875942</v>
      </c>
      <c r="I1367" t="n">
        <v>0.3894209121041677</v>
      </c>
      <c r="J1367" t="n">
        <v>0.0454031279338691</v>
      </c>
      <c r="K1367" t="n">
        <v>0.4699794775275867</v>
      </c>
      <c r="L1367" t="b">
        <v>0</v>
      </c>
      <c r="M1367" t="b">
        <v>0</v>
      </c>
      <c r="N1367" t="inlineStr">
        <is>
          <t>ref</t>
        </is>
      </c>
      <c r="O1367" t="n">
        <v>-40</v>
      </c>
      <c r="P1367" t="n">
        <v>0.002869</v>
      </c>
      <c r="Q1367" t="n">
        <v>75</v>
      </c>
      <c r="R1367" t="n">
        <v>0.08154</v>
      </c>
      <c r="S1367">
        <f>IMAGE("https://mitra.stanford.edu/kundaje/oak/projects/neuro-variants/variant_position/credible/roussos_2024/variant_figures/roussos_2024.childhood.Astrocyte/rs11076836_count_position.png",4,220,900)</f>
        <v/>
      </c>
      <c r="T1367">
        <f>IMAGE("https://mitra.stanford.edu/kundaje/oak/projects/neuro-variants/variant_position/credible/roussos_2024/variant_figures/roussos_2024.childhood.Astrocyte/rs11076836_profile_position.png",4,220,900)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0.0182622294999999</v>
      </c>
      <c r="G1368" t="n">
        <v>0.5625388847556968</v>
      </c>
      <c r="H1368" t="n">
        <v>0.0132709281769544</v>
      </c>
      <c r="I1368" t="n">
        <v>0.407312710683463</v>
      </c>
      <c r="J1368" t="n">
        <v>0.0522352743620861</v>
      </c>
      <c r="K1368" t="n">
        <v>0.4444685321267433</v>
      </c>
      <c r="L1368" t="b">
        <v>0</v>
      </c>
      <c r="M1368" t="b">
        <v>0</v>
      </c>
      <c r="N1368" t="inlineStr">
        <is>
          <t>alt</t>
        </is>
      </c>
      <c r="O1368" t="n">
        <v>-65</v>
      </c>
      <c r="P1368" t="n">
        <v>0.001068</v>
      </c>
      <c r="Q1368" t="n">
        <v>50</v>
      </c>
      <c r="R1368" t="n">
        <v>0.0532</v>
      </c>
      <c r="S1368">
        <f>IMAGE("https://mitra.stanford.edu/kundaje/oak/projects/neuro-variants/variant_position/credible/roussos_2024/variant_figures/roussos_2024.childhood.Astrocyte/rs11076837_count_position.png",4,220,900)</f>
        <v/>
      </c>
      <c r="T1368">
        <f>IMAGE("https://mitra.stanford.edu/kundaje/oak/projects/neuro-variants/variant_position/credible/roussos_2024/variant_figures/roussos_2024.childhood.Astrocyte/rs11076837_profile_position.png",4,220,900)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0.0076511936</v>
      </c>
      <c r="G1369" t="n">
        <v>0.3242428296322359</v>
      </c>
      <c r="H1369" t="n">
        <v>0.0108307154407747</v>
      </c>
      <c r="I1369" t="n">
        <v>0.6325053532389041</v>
      </c>
      <c r="J1369" t="n">
        <v>0.3150908688450764</v>
      </c>
      <c r="K1369" t="n">
        <v>0.1236685472616581</v>
      </c>
      <c r="L1369" t="b">
        <v>0</v>
      </c>
      <c r="M1369" t="b">
        <v>0</v>
      </c>
      <c r="N1369" t="inlineStr">
        <is>
          <t>alt</t>
        </is>
      </c>
      <c r="O1369" t="n">
        <v>40</v>
      </c>
      <c r="P1369" t="n">
        <v>0.004017</v>
      </c>
      <c r="Q1369" t="n">
        <v>30</v>
      </c>
      <c r="R1369" t="n">
        <v>0.1821</v>
      </c>
      <c r="S1369">
        <f>IMAGE("https://mitra.stanford.edu/kundaje/oak/projects/neuro-variants/variant_position/credible/roussos_2024/variant_figures/roussos_2024.childhood.Astrocyte/rs4786519_count_position.png",4,220,900)</f>
        <v/>
      </c>
      <c r="T1369">
        <f>IMAGE("https://mitra.stanford.edu/kundaje/oak/projects/neuro-variants/variant_position/credible/roussos_2024/variant_figures/roussos_2024.childhood.Astrocyte/rs4786519_profile_position.png",4,220,900)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-0.0020708076</v>
      </c>
      <c r="G1370" t="n">
        <v>0.6342891203701146</v>
      </c>
      <c r="H1370" t="n">
        <v>0.012380098256627</v>
      </c>
      <c r="I1370" t="n">
        <v>0.4844802564025685</v>
      </c>
      <c r="J1370" t="n">
        <v>0.0459458221703189</v>
      </c>
      <c r="K1370" t="n">
        <v>0.4609330981242953</v>
      </c>
      <c r="L1370" t="b">
        <v>0</v>
      </c>
      <c r="M1370" t="b">
        <v>0</v>
      </c>
      <c r="N1370" t="inlineStr">
        <is>
          <t>ref</t>
        </is>
      </c>
      <c r="O1370" t="n">
        <v>-90</v>
      </c>
      <c r="P1370" t="n">
        <v>0.008224</v>
      </c>
      <c r="Q1370" t="n">
        <v>-65</v>
      </c>
      <c r="R1370" t="n">
        <v>0.0929</v>
      </c>
      <c r="S1370">
        <f>IMAGE("https://mitra.stanford.edu/kundaje/oak/projects/neuro-variants/variant_position/credible/roussos_2024/variant_figures/roussos_2024.childhood.Astrocyte/rs12596497_count_position.png",4,220,900)</f>
        <v/>
      </c>
      <c r="T1370">
        <f>IMAGE("https://mitra.stanford.edu/kundaje/oak/projects/neuro-variants/variant_position/credible/roussos_2024/variant_figures/roussos_2024.childhood.Astrocyte/rs12596497_profile_position.png",4,220,900)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0.00015560846</v>
      </c>
      <c r="G1371" t="n">
        <v>0.7994018962018964</v>
      </c>
      <c r="H1371" t="n">
        <v>0.0224719127229449</v>
      </c>
      <c r="I1371" t="n">
        <v>0.0843945314552438</v>
      </c>
      <c r="J1371" t="n">
        <v>0.2399181760588643</v>
      </c>
      <c r="K1371" t="n">
        <v>0.169461101755057</v>
      </c>
      <c r="L1371" t="b">
        <v>0</v>
      </c>
      <c r="M1371" t="b">
        <v>0</v>
      </c>
      <c r="N1371" t="inlineStr">
        <is>
          <t>alt</t>
        </is>
      </c>
      <c r="O1371" t="n">
        <v>5</v>
      </c>
      <c r="P1371" t="n">
        <v>0.0008545</v>
      </c>
      <c r="Q1371" t="n">
        <v>85</v>
      </c>
      <c r="R1371" t="n">
        <v>0.1153</v>
      </c>
      <c r="S1371">
        <f>IMAGE("https://mitra.stanford.edu/kundaje/oak/projects/neuro-variants/variant_position/credible/roussos_2024/variant_figures/roussos_2024.childhood.Astrocyte/rs929468_count_position.png",4,220,900)</f>
        <v/>
      </c>
      <c r="T1371">
        <f>IMAGE("https://mitra.stanford.edu/kundaje/oak/projects/neuro-variants/variant_position/credible/roussos_2024/variant_figures/roussos_2024.childhood.Astrocyte/rs929468_profile_position.png",4,220,900)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-0.442795516</v>
      </c>
      <c r="G1372" t="n">
        <v>0.0018332020256864</v>
      </c>
      <c r="H1372" t="n">
        <v>0.0663544917229428</v>
      </c>
      <c r="I1372" t="n">
        <v>0.0014939369116528</v>
      </c>
      <c r="J1372" t="n">
        <v>0.3235556776808408</v>
      </c>
      <c r="K1372" t="n">
        <v>0.1204492040770974</v>
      </c>
      <c r="L1372" t="b">
        <v>1</v>
      </c>
      <c r="M1372" t="b">
        <v>1</v>
      </c>
      <c r="N1372" t="inlineStr">
        <is>
          <t>ref</t>
        </is>
      </c>
      <c r="O1372" t="n">
        <v>-90</v>
      </c>
      <c r="P1372" t="n">
        <v>0.02771</v>
      </c>
      <c r="Q1372" t="n">
        <v>-90</v>
      </c>
      <c r="R1372" t="n">
        <v>0.062</v>
      </c>
      <c r="S1372">
        <f>IMAGE("https://mitra.stanford.edu/kundaje/oak/projects/neuro-variants/variant_position/credible/roussos_2024/variant_figures/roussos_2024.childhood.Astrocyte/rs57105172_count_position.png",4,220,900)</f>
        <v/>
      </c>
      <c r="T1372">
        <f>IMAGE("https://mitra.stanford.edu/kundaje/oak/projects/neuro-variants/variant_position/credible/roussos_2024/variant_figures/roussos_2024.childhood.Astrocyte/rs57105172_profile_position.png",4,220,900)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-0.0073699640799999</v>
      </c>
      <c r="G1373" t="n">
        <v>0.7935854273156879</v>
      </c>
      <c r="H1373" t="n">
        <v>0.0103467642575705</v>
      </c>
      <c r="I1373" t="n">
        <v>0.6802930981002917</v>
      </c>
      <c r="J1373" t="n">
        <v>0.0166540724966224</v>
      </c>
      <c r="K1373" t="n">
        <v>0.6265402575735149</v>
      </c>
      <c r="L1373" t="b">
        <v>0</v>
      </c>
      <c r="M1373" t="b">
        <v>0</v>
      </c>
      <c r="N1373" t="inlineStr">
        <is>
          <t>ref</t>
        </is>
      </c>
      <c r="O1373" t="n">
        <v>-65</v>
      </c>
      <c r="P1373" t="n">
        <v>0.001361</v>
      </c>
      <c r="Q1373" t="n">
        <v>85</v>
      </c>
      <c r="R1373" t="n">
        <v>0.0598</v>
      </c>
      <c r="S1373">
        <f>IMAGE("https://mitra.stanford.edu/kundaje/oak/projects/neuro-variants/variant_position/credible/roussos_2024/variant_figures/roussos_2024.childhood.Astrocyte/rs66926752_count_position.png",4,220,900)</f>
        <v/>
      </c>
      <c r="T1373">
        <f>IMAGE("https://mitra.stanford.edu/kundaje/oak/projects/neuro-variants/variant_position/credible/roussos_2024/variant_figures/roussos_2024.childhood.Astrocyte/rs66926752_profile_position.png",4,220,900)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0.0343243124</v>
      </c>
      <c r="G1374" t="n">
        <v>0.3350667397232225</v>
      </c>
      <c r="H1374" t="n">
        <v>0.0340465281037947</v>
      </c>
      <c r="I1374" t="n">
        <v>0.0182217191894926</v>
      </c>
      <c r="J1374" t="n">
        <v>0.0074763573080533</v>
      </c>
      <c r="K1374" t="n">
        <v>0.7239499630661412</v>
      </c>
      <c r="L1374" t="b">
        <v>0</v>
      </c>
      <c r="M1374" t="b">
        <v>0</v>
      </c>
      <c r="N1374" t="inlineStr">
        <is>
          <t>alt</t>
        </is>
      </c>
      <c r="O1374" t="n">
        <v>10</v>
      </c>
      <c r="P1374" t="n">
        <v>0.005432</v>
      </c>
      <c r="Q1374" t="n">
        <v>65</v>
      </c>
      <c r="R1374" t="n">
        <v>0.12024</v>
      </c>
      <c r="S1374">
        <f>IMAGE("https://mitra.stanford.edu/kundaje/oak/projects/neuro-variants/variant_position/credible/roussos_2024/variant_figures/roussos_2024.childhood.Astrocyte/rs11076959_count_position.png",4,220,900)</f>
        <v/>
      </c>
      <c r="T1374">
        <f>IMAGE("https://mitra.stanford.edu/kundaje/oak/projects/neuro-variants/variant_position/credible/roussos_2024/variant_figures/roussos_2024.childhood.Astrocyte/rs11076959_profile_position.png",4,220,900)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-0.216087202</v>
      </c>
      <c r="G1375" t="n">
        <v>0.0147852378386677</v>
      </c>
      <c r="H1375" t="n">
        <v>0.0274418312088487</v>
      </c>
      <c r="I1375" t="n">
        <v>0.0420479032517635</v>
      </c>
      <c r="J1375" t="n">
        <v>0.0049811850732369</v>
      </c>
      <c r="K1375" t="n">
        <v>0.7730386944025592</v>
      </c>
      <c r="L1375" t="b">
        <v>1</v>
      </c>
      <c r="M1375" t="b">
        <v>0</v>
      </c>
      <c r="N1375" t="inlineStr">
        <is>
          <t>ref</t>
        </is>
      </c>
      <c r="O1375" t="n">
        <v>-20</v>
      </c>
      <c r="P1375" t="n">
        <v>0.00322</v>
      </c>
      <c r="Q1375" t="n">
        <v>-70</v>
      </c>
      <c r="R1375" t="n">
        <v>0.0759</v>
      </c>
      <c r="S1375">
        <f>IMAGE("https://mitra.stanford.edu/kundaje/oak/projects/neuro-variants/variant_position/credible/roussos_2024/variant_figures/roussos_2024.childhood.Astrocyte/rs9929010_count_position.png",4,220,900)</f>
        <v/>
      </c>
      <c r="T1375">
        <f>IMAGE("https://mitra.stanford.edu/kundaje/oak/projects/neuro-variants/variant_position/credible/roussos_2024/variant_figures/roussos_2024.childhood.Astrocyte/rs9929010_profile_position.png",4,220,900)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-0.0403615061999999</v>
      </c>
      <c r="G1376" t="n">
        <v>0.2740269944805114</v>
      </c>
      <c r="H1376" t="n">
        <v>0.0121710539254307</v>
      </c>
      <c r="I1376" t="n">
        <v>0.4850674695111021</v>
      </c>
      <c r="J1376" t="n">
        <v>0.0168517628021646</v>
      </c>
      <c r="K1376" t="n">
        <v>0.6369406032963563</v>
      </c>
      <c r="L1376" t="b">
        <v>0</v>
      </c>
      <c r="M1376" t="b">
        <v>0</v>
      </c>
      <c r="N1376" t="inlineStr">
        <is>
          <t>ref</t>
        </is>
      </c>
      <c r="O1376" t="n">
        <v>100</v>
      </c>
      <c r="P1376" t="n">
        <v>0.011154</v>
      </c>
      <c r="Q1376" t="n">
        <v>-100</v>
      </c>
      <c r="R1376" t="n">
        <v>0.1604</v>
      </c>
      <c r="S1376">
        <f>IMAGE("https://mitra.stanford.edu/kundaje/oak/projects/neuro-variants/variant_position/credible/roussos_2024/variant_figures/roussos_2024.childhood.Astrocyte/rs6500717_count_position.png",4,220,900)</f>
        <v/>
      </c>
      <c r="T1376">
        <f>IMAGE("https://mitra.stanford.edu/kundaje/oak/projects/neuro-variants/variant_position/credible/roussos_2024/variant_figures/roussos_2024.childhood.Astrocyte/rs6500717_profile_position.png",4,220,900)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-0.48242627</v>
      </c>
      <c r="G1377" t="n">
        <v>0.0012829234061094</v>
      </c>
      <c r="H1377" t="n">
        <v>0.0490337170437417</v>
      </c>
      <c r="I1377" t="n">
        <v>0.0044917394163185</v>
      </c>
      <c r="J1377" t="n">
        <v>0.3561661819819407</v>
      </c>
      <c r="K1377" t="n">
        <v>0.1048524152933779</v>
      </c>
      <c r="L1377" t="b">
        <v>1</v>
      </c>
      <c r="M1377" t="b">
        <v>1</v>
      </c>
      <c r="N1377" t="inlineStr">
        <is>
          <t>ref</t>
        </is>
      </c>
      <c r="O1377" t="n">
        <v>30</v>
      </c>
      <c r="P1377" t="n">
        <v>0.00235</v>
      </c>
      <c r="Q1377" t="n">
        <v>10</v>
      </c>
      <c r="R1377" t="n">
        <v>0.03906</v>
      </c>
      <c r="S1377">
        <f>IMAGE("https://mitra.stanford.edu/kundaje/oak/projects/neuro-variants/variant_position/credible/roussos_2024/variant_figures/roussos_2024.childhood.Astrocyte/rs7189389_count_position.png",4,220,900)</f>
        <v/>
      </c>
      <c r="T1377">
        <f>IMAGE("https://mitra.stanford.edu/kundaje/oak/projects/neuro-variants/variant_position/credible/roussos_2024/variant_figures/roussos_2024.childhood.Astrocyte/rs7189389_profile_position.png",4,220,900)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0.0012551485199999</v>
      </c>
      <c r="G1378" t="n">
        <v>0.7792451589300982</v>
      </c>
      <c r="H1378" t="n">
        <v>0.0201811791021002</v>
      </c>
      <c r="I1378" t="n">
        <v>0.1233202287677781</v>
      </c>
      <c r="J1378" t="n">
        <v>0.0071565417172341</v>
      </c>
      <c r="K1378" t="n">
        <v>0.7342944514838283</v>
      </c>
      <c r="L1378" t="b">
        <v>0</v>
      </c>
      <c r="M1378" t="b">
        <v>0</v>
      </c>
      <c r="N1378" t="inlineStr">
        <is>
          <t>alt</t>
        </is>
      </c>
      <c r="O1378" t="n">
        <v>-5</v>
      </c>
      <c r="P1378" t="n">
        <v>0.001465</v>
      </c>
      <c r="Q1378" t="n">
        <v>85</v>
      </c>
      <c r="R1378" t="n">
        <v>0.1838</v>
      </c>
      <c r="S1378">
        <f>IMAGE("https://mitra.stanford.edu/kundaje/oak/projects/neuro-variants/variant_position/credible/roussos_2024/variant_figures/roussos_2024.childhood.Astrocyte/rs3900820_count_position.png",4,220,900)</f>
        <v/>
      </c>
      <c r="T1378">
        <f>IMAGE("https://mitra.stanford.edu/kundaje/oak/projects/neuro-variants/variant_position/credible/roussos_2024/variant_figures/roussos_2024.childhood.Astrocyte/rs3900820_profile_position.png",4,220,900)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-0.00377464126</v>
      </c>
      <c r="G1379" t="n">
        <v>0.6345924078331557</v>
      </c>
      <c r="H1379" t="n">
        <v>0.0119945801266659</v>
      </c>
      <c r="I1379" t="n">
        <v>0.5136887922809662</v>
      </c>
      <c r="J1379" t="n">
        <v>0.0837527573599566</v>
      </c>
      <c r="K1379" t="n">
        <v>0.3644748018891747</v>
      </c>
      <c r="L1379" t="b">
        <v>0</v>
      </c>
      <c r="M1379" t="b">
        <v>0</v>
      </c>
      <c r="N1379" t="inlineStr">
        <is>
          <t>ref</t>
        </is>
      </c>
      <c r="O1379" t="n">
        <v>-100</v>
      </c>
      <c r="P1379" t="n">
        <v>0.00865</v>
      </c>
      <c r="Q1379" t="n">
        <v>-95</v>
      </c>
      <c r="R1379" t="n">
        <v>0.0887</v>
      </c>
      <c r="S1379">
        <f>IMAGE("https://mitra.stanford.edu/kundaje/oak/projects/neuro-variants/variant_position/credible/roussos_2024/variant_figures/roussos_2024.childhood.Astrocyte/rs9927114_count_position.png",4,220,900)</f>
        <v/>
      </c>
      <c r="T1379">
        <f>IMAGE("https://mitra.stanford.edu/kundaje/oak/projects/neuro-variants/variant_position/credible/roussos_2024/variant_figures/roussos_2024.childhood.Astrocyte/rs9927114_profile_position.png",4,220,900)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-0.0178289388</v>
      </c>
      <c r="G1380" t="n">
        <v>0.5856393364116772</v>
      </c>
      <c r="H1380" t="n">
        <v>0.016210615625401</v>
      </c>
      <c r="I1380" t="n">
        <v>0.2359043120443845</v>
      </c>
      <c r="J1380" t="n">
        <v>0.0852373428591055</v>
      </c>
      <c r="K1380" t="n">
        <v>0.3611959441624701</v>
      </c>
      <c r="L1380" t="b">
        <v>0</v>
      </c>
      <c r="M1380" t="b">
        <v>0</v>
      </c>
      <c r="N1380" t="inlineStr">
        <is>
          <t>ref</t>
        </is>
      </c>
      <c r="O1380" t="n">
        <v>-95</v>
      </c>
      <c r="P1380" t="n">
        <v>0.00506</v>
      </c>
      <c r="Q1380" t="n">
        <v>-100</v>
      </c>
      <c r="R1380" t="n">
        <v>0.12366</v>
      </c>
      <c r="S1380">
        <f>IMAGE("https://mitra.stanford.edu/kundaje/oak/projects/neuro-variants/variant_position/credible/roussos_2024/variant_figures/roussos_2024.childhood.Astrocyte/rs9927115_count_position.png",4,220,900)</f>
        <v/>
      </c>
      <c r="T1380">
        <f>IMAGE("https://mitra.stanford.edu/kundaje/oak/projects/neuro-variants/variant_position/credible/roussos_2024/variant_figures/roussos_2024.childhood.Astrocyte/rs9927115_profile_position.png",4,220,900)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0.0476033314</v>
      </c>
      <c r="G1381" t="n">
        <v>0.2660334444206143</v>
      </c>
      <c r="H1381" t="n">
        <v>0.0133224444982609</v>
      </c>
      <c r="I1381" t="n">
        <v>0.390050950536174</v>
      </c>
      <c r="J1381" t="n">
        <v>0.1686489127033194</v>
      </c>
      <c r="K1381" t="n">
        <v>0.2385572566471761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0.02911</v>
      </c>
      <c r="Q1381" t="n">
        <v>100</v>
      </c>
      <c r="R1381" t="n">
        <v>0.3135</v>
      </c>
      <c r="S1381">
        <f>IMAGE("https://mitra.stanford.edu/kundaje/oak/projects/neuro-variants/variant_position/credible/roussos_2024/variant_figures/roussos_2024.childhood.Astrocyte/rs9927274_count_position.png",4,220,900)</f>
        <v/>
      </c>
      <c r="T1381">
        <f>IMAGE("https://mitra.stanford.edu/kundaje/oak/projects/neuro-variants/variant_position/credible/roussos_2024/variant_figures/roussos_2024.childhood.Astrocyte/rs9927274_profile_position.png",4,220,900)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-0.0108163406</v>
      </c>
      <c r="G1382" t="n">
        <v>0.5581929543377531</v>
      </c>
      <c r="H1382" t="n">
        <v>0.012236325970154</v>
      </c>
      <c r="I1382" t="n">
        <v>0.4912105440416511</v>
      </c>
      <c r="J1382" t="n">
        <v>0.2206002457771365</v>
      </c>
      <c r="K1382" t="n">
        <v>0.1879975154929429</v>
      </c>
      <c r="L1382" t="b">
        <v>0</v>
      </c>
      <c r="M1382" t="b">
        <v>0</v>
      </c>
      <c r="N1382" t="inlineStr">
        <is>
          <t>ref</t>
        </is>
      </c>
      <c r="O1382" t="n">
        <v>100</v>
      </c>
      <c r="P1382" t="n">
        <v>0.05222</v>
      </c>
      <c r="Q1382" t="n">
        <v>100</v>
      </c>
      <c r="R1382" t="n">
        <v>0.3396</v>
      </c>
      <c r="S1382">
        <f>IMAGE("https://mitra.stanford.edu/kundaje/oak/projects/neuro-variants/variant_position/credible/roussos_2024/variant_figures/roussos_2024.childhood.Astrocyte/rs9929578_count_position.png",4,220,900)</f>
        <v/>
      </c>
      <c r="T1382">
        <f>IMAGE("https://mitra.stanford.edu/kundaje/oak/projects/neuro-variants/variant_position/credible/roussos_2024/variant_figures/roussos_2024.childhood.Astrocyte/rs9929578_profile_position.png",4,220,900)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0.07906867899999991</v>
      </c>
      <c r="G1383" t="n">
        <v>0.1023418732004453</v>
      </c>
      <c r="H1383" t="n">
        <v>0.0183628537294147</v>
      </c>
      <c r="I1383" t="n">
        <v>0.1709989805286555</v>
      </c>
      <c r="J1383" t="n">
        <v>0.0003205788738521</v>
      </c>
      <c r="K1383" t="n">
        <v>0.9517340910046734</v>
      </c>
      <c r="L1383" t="b">
        <v>0</v>
      </c>
      <c r="M1383" t="b">
        <v>0</v>
      </c>
      <c r="N1383" t="inlineStr">
        <is>
          <t>alt</t>
        </is>
      </c>
      <c r="O1383" t="n">
        <v>-60</v>
      </c>
      <c r="P1383" t="n">
        <v>0.003693</v>
      </c>
      <c r="Q1383" t="n">
        <v>20</v>
      </c>
      <c r="R1383" t="n">
        <v>0.03912</v>
      </c>
      <c r="S1383">
        <f>IMAGE("https://mitra.stanford.edu/kundaje/oak/projects/neuro-variants/variant_position/credible/roussos_2024/variant_figures/roussos_2024.childhood.Astrocyte/rs11648113_count_position.png",4,220,900)</f>
        <v/>
      </c>
      <c r="T1383">
        <f>IMAGE("https://mitra.stanford.edu/kundaje/oak/projects/neuro-variants/variant_position/credible/roussos_2024/variant_figures/roussos_2024.childhood.Astrocyte/rs11648113_profile_position.png",4,220,900)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-0.02235323434</v>
      </c>
      <c r="G1384" t="n">
        <v>0.5021442508073352</v>
      </c>
      <c r="H1384" t="n">
        <v>0.0107313700963244</v>
      </c>
      <c r="I1384" t="n">
        <v>0.6389995376114992</v>
      </c>
      <c r="J1384" t="n">
        <v>0.0116850999519131</v>
      </c>
      <c r="K1384" t="n">
        <v>0.6858412938994181</v>
      </c>
      <c r="L1384" t="b">
        <v>0</v>
      </c>
      <c r="M1384" t="b">
        <v>0</v>
      </c>
      <c r="N1384" t="inlineStr">
        <is>
          <t>ref</t>
        </is>
      </c>
      <c r="O1384" t="n">
        <v>-45</v>
      </c>
      <c r="P1384" t="n">
        <v>0.011215</v>
      </c>
      <c r="Q1384" t="n">
        <v>-100</v>
      </c>
      <c r="R1384" t="n">
        <v>0.1964</v>
      </c>
      <c r="S1384">
        <f>IMAGE("https://mitra.stanford.edu/kundaje/oak/projects/neuro-variants/variant_position/credible/roussos_2024/variant_figures/roussos_2024.childhood.Astrocyte/rs7198618_count_position.png",4,220,900)</f>
        <v/>
      </c>
      <c r="T1384">
        <f>IMAGE("https://mitra.stanford.edu/kundaje/oak/projects/neuro-variants/variant_position/credible/roussos_2024/variant_figures/roussos_2024.childhood.Astrocyte/rs7198618_profile_position.png",4,220,900)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0.011432502</v>
      </c>
      <c r="G1385" t="n">
        <v>0.6936535067342966</v>
      </c>
      <c r="H1385" t="n">
        <v>0.019641993902998</v>
      </c>
      <c r="I1385" t="n">
        <v>0.1336572630511097</v>
      </c>
      <c r="J1385" t="n">
        <v>0.004443070534985</v>
      </c>
      <c r="K1385" t="n">
        <v>0.8044471407537485</v>
      </c>
      <c r="L1385" t="b">
        <v>0</v>
      </c>
      <c r="M1385" t="b">
        <v>0</v>
      </c>
      <c r="N1385" t="inlineStr">
        <is>
          <t>alt</t>
        </is>
      </c>
      <c r="O1385" t="n">
        <v>-15</v>
      </c>
      <c r="P1385" t="n">
        <v>0.004536</v>
      </c>
      <c r="Q1385" t="n">
        <v>-20</v>
      </c>
      <c r="R1385" t="n">
        <v>0.0575</v>
      </c>
      <c r="S1385">
        <f>IMAGE("https://mitra.stanford.edu/kundaje/oak/projects/neuro-variants/variant_position/credible/roussos_2024/variant_figures/roussos_2024.childhood.Astrocyte/rs11861310_count_position.png",4,220,900)</f>
        <v/>
      </c>
      <c r="T1385">
        <f>IMAGE("https://mitra.stanford.edu/kundaje/oak/projects/neuro-variants/variant_position/credible/roussos_2024/variant_figures/roussos_2024.childhood.Astrocyte/rs11861310_profile_position.png",4,220,900)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-0.0093024442999999</v>
      </c>
      <c r="G1386" t="n">
        <v>0.6117680771916293</v>
      </c>
      <c r="H1386" t="n">
        <v>0.0075102831390475</v>
      </c>
      <c r="I1386" t="n">
        <v>0.933066114355379</v>
      </c>
      <c r="J1386" t="n">
        <v>0.3910947768542052</v>
      </c>
      <c r="K1386" t="n">
        <v>0.0887349548421783</v>
      </c>
      <c r="L1386" t="b">
        <v>0</v>
      </c>
      <c r="M1386" t="b">
        <v>0</v>
      </c>
      <c r="N1386" t="inlineStr">
        <is>
          <t>ref</t>
        </is>
      </c>
      <c r="O1386" t="n">
        <v>90</v>
      </c>
      <c r="P1386" t="n">
        <v>0.062</v>
      </c>
      <c r="Q1386" t="n">
        <v>95</v>
      </c>
      <c r="R1386" t="n">
        <v>0.4565</v>
      </c>
      <c r="S1386">
        <f>IMAGE("https://mitra.stanford.edu/kundaje/oak/projects/neuro-variants/variant_position/credible/roussos_2024/variant_figures/roussos_2024.childhood.Astrocyte/rs56142463_count_position.png",4,220,900)</f>
        <v/>
      </c>
      <c r="T1386">
        <f>IMAGE("https://mitra.stanford.edu/kundaje/oak/projects/neuro-variants/variant_position/credible/roussos_2024/variant_figures/roussos_2024.childhood.Astrocyte/rs56142463_profile_position.png",4,220,900)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5.0770148e-05</v>
      </c>
      <c r="G1387" t="n">
        <v>0.7627274238642194</v>
      </c>
      <c r="H1387" t="n">
        <v>0.009018645887677401</v>
      </c>
      <c r="I1387" t="n">
        <v>0.8065971714751183</v>
      </c>
      <c r="J1387" t="n">
        <v>0.4732713547510552</v>
      </c>
      <c r="K1387" t="n">
        <v>0.0633912552115985</v>
      </c>
      <c r="L1387" t="b">
        <v>0</v>
      </c>
      <c r="M1387" t="b">
        <v>0</v>
      </c>
      <c r="N1387" t="inlineStr">
        <is>
          <t>alt</t>
        </is>
      </c>
      <c r="O1387" t="n">
        <v>-50</v>
      </c>
      <c r="P1387" t="n">
        <v>0.003975</v>
      </c>
      <c r="Q1387" t="n">
        <v>45</v>
      </c>
      <c r="R1387" t="n">
        <v>0.10535</v>
      </c>
      <c r="S1387">
        <f>IMAGE("https://mitra.stanford.edu/kundaje/oak/projects/neuro-variants/variant_position/credible/roussos_2024/variant_figures/roussos_2024.childhood.Astrocyte/rs12051021_count_position.png",4,220,900)</f>
        <v/>
      </c>
      <c r="T1387">
        <f>IMAGE("https://mitra.stanford.edu/kundaje/oak/projects/neuro-variants/variant_position/credible/roussos_2024/variant_figures/roussos_2024.childhood.Astrocyte/rs12051021_profile_position.png",4,220,900)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0.00733570508</v>
      </c>
      <c r="G1388" t="n">
        <v>0.7074518676744734</v>
      </c>
      <c r="H1388" t="n">
        <v>0.0105413294287435</v>
      </c>
      <c r="I1388" t="n">
        <v>0.6556306143599528</v>
      </c>
      <c r="J1388" t="n">
        <v>0.2584140505140711</v>
      </c>
      <c r="K1388" t="n">
        <v>0.1571890366646935</v>
      </c>
      <c r="L1388" t="b">
        <v>0</v>
      </c>
      <c r="M1388" t="b">
        <v>0</v>
      </c>
      <c r="N1388" t="inlineStr">
        <is>
          <t>alt</t>
        </is>
      </c>
      <c r="O1388" t="n">
        <v>-45</v>
      </c>
      <c r="P1388" t="n">
        <v>0.0007143</v>
      </c>
      <c r="Q1388" t="n">
        <v>-5</v>
      </c>
      <c r="R1388" t="n">
        <v>0.02026</v>
      </c>
      <c r="S1388">
        <f>IMAGE("https://mitra.stanford.edu/kundaje/oak/projects/neuro-variants/variant_position/credible/roussos_2024/variant_figures/roussos_2024.childhood.Astrocyte/rs17143361_count_position.png",4,220,900)</f>
        <v/>
      </c>
      <c r="T1388">
        <f>IMAGE("https://mitra.stanford.edu/kundaje/oak/projects/neuro-variants/variant_position/credible/roussos_2024/variant_figures/roussos_2024.childhood.Astrocyte/rs17143361_profile_position.png",4,220,900)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0.007019406552</v>
      </c>
      <c r="G1389" t="n">
        <v>0.7683807605039639</v>
      </c>
      <c r="H1389" t="n">
        <v>0.0260879862078157</v>
      </c>
      <c r="I1389" t="n">
        <v>0.0503058095516398</v>
      </c>
      <c r="J1389" t="n">
        <v>0.0005846748032637</v>
      </c>
      <c r="K1389" t="n">
        <v>0.9445363056308186</v>
      </c>
      <c r="L1389" t="b">
        <v>0</v>
      </c>
      <c r="M1389" t="b">
        <v>0</v>
      </c>
      <c r="N1389" t="inlineStr">
        <is>
          <t>alt</t>
        </is>
      </c>
      <c r="O1389" t="n">
        <v>5</v>
      </c>
      <c r="P1389" t="n">
        <v>0.002113</v>
      </c>
      <c r="Q1389" t="n">
        <v>100</v>
      </c>
      <c r="R1389" t="n">
        <v>0.0531</v>
      </c>
      <c r="S1389">
        <f>IMAGE("https://mitra.stanford.edu/kundaje/oak/projects/neuro-variants/variant_position/credible/roussos_2024/variant_figures/roussos_2024.childhood.Astrocyte/rs4331351_count_position.png",4,220,900)</f>
        <v/>
      </c>
      <c r="T1389">
        <f>IMAGE("https://mitra.stanford.edu/kundaje/oak/projects/neuro-variants/variant_position/credible/roussos_2024/variant_figures/roussos_2024.childhood.Astrocyte/rs4331351_profile_position.png",4,220,900)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0.0249712766</v>
      </c>
      <c r="G1390" t="n">
        <v>0.1802059127501123</v>
      </c>
      <c r="H1390" t="n">
        <v>0.0102782751460406</v>
      </c>
      <c r="I1390" t="n">
        <v>0.6831894842827909</v>
      </c>
      <c r="J1390" t="n">
        <v>0.4693534229427614</v>
      </c>
      <c r="K1390" t="n">
        <v>0.0642350637621697</v>
      </c>
      <c r="L1390" t="b">
        <v>0</v>
      </c>
      <c r="M1390" t="b">
        <v>0</v>
      </c>
      <c r="N1390" t="inlineStr">
        <is>
          <t>alt</t>
        </is>
      </c>
      <c r="O1390" t="n">
        <v>-75</v>
      </c>
      <c r="P1390" t="n">
        <v>0.04062</v>
      </c>
      <c r="Q1390" t="n">
        <v>0</v>
      </c>
      <c r="R1390" t="n">
        <v>0</v>
      </c>
      <c r="S1390">
        <f>IMAGE("https://mitra.stanford.edu/kundaje/oak/projects/neuro-variants/variant_position/credible/roussos_2024/variant_figures/roussos_2024.childhood.Astrocyte/rs4479249_count_position.png",4,220,900)</f>
        <v/>
      </c>
      <c r="T1390">
        <f>IMAGE("https://mitra.stanford.edu/kundaje/oak/projects/neuro-variants/variant_position/credible/roussos_2024/variant_figures/roussos_2024.childhood.Astrocyte/rs4479249_profile_position.png",4,220,900)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-0.08182179105659999</v>
      </c>
      <c r="G1391" t="n">
        <v>0.1178464992889732</v>
      </c>
      <c r="H1391" t="n">
        <v>0.0215139461290643</v>
      </c>
      <c r="I1391" t="n">
        <v>0.1366892200467811</v>
      </c>
      <c r="J1391" t="n">
        <v>0.06927098837519929</v>
      </c>
      <c r="K1391" t="n">
        <v>0.4308019549517896</v>
      </c>
      <c r="L1391" t="b">
        <v>0</v>
      </c>
      <c r="M1391" t="b">
        <v>0</v>
      </c>
      <c r="N1391" t="inlineStr">
        <is>
          <t>ref</t>
        </is>
      </c>
      <c r="O1391" t="n">
        <v>-55</v>
      </c>
      <c r="P1391" t="n">
        <v>0.001656</v>
      </c>
      <c r="Q1391" t="n">
        <v>-60</v>
      </c>
      <c r="R1391" t="n">
        <v>0.1355</v>
      </c>
      <c r="S1391">
        <f>IMAGE("https://mitra.stanford.edu/kundaje/oak/projects/neuro-variants/variant_position/credible/roussos_2024/variant_figures/roussos_2024.childhood.Astrocyte/rs4787008_count_position.png",4,220,900)</f>
        <v/>
      </c>
      <c r="T1391">
        <f>IMAGE("https://mitra.stanford.edu/kundaje/oak/projects/neuro-variants/variant_position/credible/roussos_2024/variant_figures/roussos_2024.childhood.Astrocyte/rs4787008_profile_position.png",4,220,900)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-0.073283614</v>
      </c>
      <c r="G1392" t="n">
        <v>0.1348351809456356</v>
      </c>
      <c r="H1392" t="n">
        <v>0.0126814427708749</v>
      </c>
      <c r="I1392" t="n">
        <v>0.4561816459798035</v>
      </c>
      <c r="J1392" t="n">
        <v>0.0552823002297481</v>
      </c>
      <c r="K1392" t="n">
        <v>0.4515976204094786</v>
      </c>
      <c r="L1392" t="b">
        <v>0</v>
      </c>
      <c r="M1392" t="b">
        <v>0</v>
      </c>
      <c r="N1392" t="inlineStr">
        <is>
          <t>ref</t>
        </is>
      </c>
      <c r="O1392" t="n">
        <v>-65</v>
      </c>
      <c r="P1392" t="n">
        <v>0.00527</v>
      </c>
      <c r="Q1392" t="n">
        <v>80</v>
      </c>
      <c r="R1392" t="n">
        <v>0.0969</v>
      </c>
      <c r="S1392">
        <f>IMAGE("https://mitra.stanford.edu/kundaje/oak/projects/neuro-variants/variant_position/credible/roussos_2024/variant_figures/roussos_2024.childhood.Astrocyte/rs8055816_count_position.png",4,220,900)</f>
        <v/>
      </c>
      <c r="T1392">
        <f>IMAGE("https://mitra.stanford.edu/kundaje/oak/projects/neuro-variants/variant_position/credible/roussos_2024/variant_figures/roussos_2024.childhood.Astrocyte/rs8055816_profile_position.png",4,220,900)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0.03143154206</v>
      </c>
      <c r="G1393" t="n">
        <v>0.3787203158370152</v>
      </c>
      <c r="H1393" t="n">
        <v>0.008222461991500301</v>
      </c>
      <c r="I1393" t="n">
        <v>0.883603172763513</v>
      </c>
      <c r="J1393" t="n">
        <v>0.0089792615999938</v>
      </c>
      <c r="K1393" t="n">
        <v>0.7328501271996414</v>
      </c>
      <c r="L1393" t="b">
        <v>0</v>
      </c>
      <c r="M1393" t="b">
        <v>0</v>
      </c>
      <c r="N1393" t="inlineStr">
        <is>
          <t>alt</t>
        </is>
      </c>
      <c r="O1393" t="n">
        <v>100</v>
      </c>
      <c r="P1393" t="n">
        <v>0.0072</v>
      </c>
      <c r="Q1393" t="n">
        <v>65</v>
      </c>
      <c r="R1393" t="n">
        <v>0.1055</v>
      </c>
      <c r="S1393">
        <f>IMAGE("https://mitra.stanford.edu/kundaje/oak/projects/neuro-variants/variant_position/credible/roussos_2024/variant_figures/roussos_2024.childhood.Astrocyte/rs2077923_count_position.png",4,220,900)</f>
        <v/>
      </c>
      <c r="T1393">
        <f>IMAGE("https://mitra.stanford.edu/kundaje/oak/projects/neuro-variants/variant_position/credible/roussos_2024/variant_figures/roussos_2024.childhood.Astrocyte/rs2077923_profile_position.png",4,220,900)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0.0524367736</v>
      </c>
      <c r="G1394" t="n">
        <v>0.1969776185187753</v>
      </c>
      <c r="H1394" t="n">
        <v>0.0157064961398819</v>
      </c>
      <c r="I1394" t="n">
        <v>0.2633769246679369</v>
      </c>
      <c r="J1394" t="n">
        <v>0.3158114080282109</v>
      </c>
      <c r="K1394" t="n">
        <v>0.124663024049148</v>
      </c>
      <c r="L1394" t="b">
        <v>0</v>
      </c>
      <c r="M1394" t="b">
        <v>0</v>
      </c>
      <c r="N1394" t="inlineStr">
        <is>
          <t>alt</t>
        </is>
      </c>
      <c r="O1394" t="n">
        <v>100</v>
      </c>
      <c r="P1394" t="n">
        <v>0.002502</v>
      </c>
      <c r="Q1394" t="n">
        <v>70</v>
      </c>
      <c r="R1394" t="n">
        <v>0.01318</v>
      </c>
      <c r="S1394">
        <f>IMAGE("https://mitra.stanford.edu/kundaje/oak/projects/neuro-variants/variant_position/credible/roussos_2024/variant_figures/roussos_2024.childhood.Astrocyte/rs2267787_count_position.png",4,220,900)</f>
        <v/>
      </c>
      <c r="T1394">
        <f>IMAGE("https://mitra.stanford.edu/kundaje/oak/projects/neuro-variants/variant_position/credible/roussos_2024/variant_figures/roussos_2024.childhood.Astrocyte/rs2267787_profile_position.png",4,220,900)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-0.0449589046</v>
      </c>
      <c r="G1395" t="n">
        <v>0.2057617632519695</v>
      </c>
      <c r="H1395" t="n">
        <v>0.0193970073084748</v>
      </c>
      <c r="I1395" t="n">
        <v>0.1381554180615187</v>
      </c>
      <c r="J1395" t="n">
        <v>0.3550250738476334</v>
      </c>
      <c r="K1395" t="n">
        <v>0.1058430212605906</v>
      </c>
      <c r="L1395" t="b">
        <v>0</v>
      </c>
      <c r="M1395" t="b">
        <v>0</v>
      </c>
      <c r="N1395" t="inlineStr">
        <is>
          <t>ref</t>
        </is>
      </c>
      <c r="O1395" t="n">
        <v>-100</v>
      </c>
      <c r="P1395" t="n">
        <v>0.02951</v>
      </c>
      <c r="Q1395" t="n">
        <v>-100</v>
      </c>
      <c r="R1395" t="n">
        <v>0.3447</v>
      </c>
      <c r="S1395">
        <f>IMAGE("https://mitra.stanford.edu/kundaje/oak/projects/neuro-variants/variant_position/credible/roussos_2024/variant_figures/roussos_2024.childhood.Astrocyte/rs7195942_count_position.png",4,220,900)</f>
        <v/>
      </c>
      <c r="T1395">
        <f>IMAGE("https://mitra.stanford.edu/kundaje/oak/projects/neuro-variants/variant_position/credible/roussos_2024/variant_figures/roussos_2024.childhood.Astrocyte/rs7195942_profile_position.png",4,220,900)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-0.01056418258</v>
      </c>
      <c r="G1396" t="n">
        <v>0.7267660468101861</v>
      </c>
      <c r="H1396" t="n">
        <v>0.009397893893573799</v>
      </c>
      <c r="I1396" t="n">
        <v>0.7735697269948592</v>
      </c>
      <c r="J1396" t="n">
        <v>0.0567813881065237</v>
      </c>
      <c r="K1396" t="n">
        <v>0.4364610805810622</v>
      </c>
      <c r="L1396" t="b">
        <v>0</v>
      </c>
      <c r="M1396" t="b">
        <v>0</v>
      </c>
      <c r="N1396" t="inlineStr">
        <is>
          <t>ref</t>
        </is>
      </c>
      <c r="O1396" t="n">
        <v>80</v>
      </c>
      <c r="P1396" t="n">
        <v>0.005745</v>
      </c>
      <c r="Q1396" t="n">
        <v>70</v>
      </c>
      <c r="R1396" t="n">
        <v>0.05972</v>
      </c>
      <c r="S1396">
        <f>IMAGE("https://mitra.stanford.edu/kundaje/oak/projects/neuro-variants/variant_position/credible/roussos_2024/variant_figures/roussos_2024.childhood.Astrocyte/rs7195835_count_position.png",4,220,900)</f>
        <v/>
      </c>
      <c r="T1396">
        <f>IMAGE("https://mitra.stanford.edu/kundaje/oak/projects/neuro-variants/variant_position/credible/roussos_2024/variant_figures/roussos_2024.childhood.Astrocyte/rs7195835_profile_position.png",4,220,900)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-0.2078818592</v>
      </c>
      <c r="G1397" t="n">
        <v>0.0165456417946805</v>
      </c>
      <c r="H1397" t="n">
        <v>0.0249815437838843</v>
      </c>
      <c r="I1397" t="n">
        <v>0.0658536641591899</v>
      </c>
      <c r="J1397" t="n">
        <v>0.0235946051155228</v>
      </c>
      <c r="K1397" t="n">
        <v>0.5875672637750843</v>
      </c>
      <c r="L1397" t="b">
        <v>1</v>
      </c>
      <c r="M1397" t="b">
        <v>0</v>
      </c>
      <c r="N1397" t="inlineStr">
        <is>
          <t>ref</t>
        </is>
      </c>
      <c r="O1397" t="n">
        <v>-5</v>
      </c>
      <c r="P1397" t="n">
        <v>0.00116</v>
      </c>
      <c r="Q1397" t="n">
        <v>-10</v>
      </c>
      <c r="R1397" t="n">
        <v>0.04517</v>
      </c>
      <c r="S1397">
        <f>IMAGE("https://mitra.stanford.edu/kundaje/oak/projects/neuro-variants/variant_position/credible/roussos_2024/variant_figures/roussos_2024.childhood.Astrocyte/rs7196962_count_position.png",4,220,900)</f>
        <v/>
      </c>
      <c r="T1397">
        <f>IMAGE("https://mitra.stanford.edu/kundaje/oak/projects/neuro-variants/variant_position/credible/roussos_2024/variant_figures/roussos_2024.childhood.Astrocyte/rs7196962_profile_position.png",4,220,900)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-0.444469252</v>
      </c>
      <c r="G1398" t="n">
        <v>0.0019663442699822</v>
      </c>
      <c r="H1398" t="n">
        <v>0.061206436018814</v>
      </c>
      <c r="I1398" t="n">
        <v>0.0021333805238177</v>
      </c>
      <c r="J1398" t="n">
        <v>0.0238518314976375</v>
      </c>
      <c r="K1398" t="n">
        <v>0.584746415822608</v>
      </c>
      <c r="L1398" t="b">
        <v>1</v>
      </c>
      <c r="M1398" t="b">
        <v>1</v>
      </c>
      <c r="N1398" t="inlineStr">
        <is>
          <t>ref</t>
        </is>
      </c>
      <c r="O1398" t="n">
        <v>-85</v>
      </c>
      <c r="P1398" t="n">
        <v>0.01213</v>
      </c>
      <c r="Q1398" t="n">
        <v>-90</v>
      </c>
      <c r="R1398" t="n">
        <v>0.1487</v>
      </c>
      <c r="S1398">
        <f>IMAGE("https://mitra.stanford.edu/kundaje/oak/projects/neuro-variants/variant_position/credible/roussos_2024/variant_figures/roussos_2024.childhood.Astrocyte/rs7197004_count_position.png",4,220,900)</f>
        <v/>
      </c>
      <c r="T1398">
        <f>IMAGE("https://mitra.stanford.edu/kundaje/oak/projects/neuro-variants/variant_position/credible/roussos_2024/variant_figures/roussos_2024.childhood.Astrocyte/rs7197004_profile_position.png",4,220,900)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-0.0235039942</v>
      </c>
      <c r="G1399" t="n">
        <v>0.4760327671935194</v>
      </c>
      <c r="H1399" t="n">
        <v>0.0156009391140675</v>
      </c>
      <c r="I1399" t="n">
        <v>0.2645368538790106</v>
      </c>
      <c r="J1399" t="n">
        <v>0.0232015143535373</v>
      </c>
      <c r="K1399" t="n">
        <v>0.5839782305902594</v>
      </c>
      <c r="L1399" t="b">
        <v>0</v>
      </c>
      <c r="M1399" t="b">
        <v>0</v>
      </c>
      <c r="N1399" t="inlineStr">
        <is>
          <t>ref</t>
        </is>
      </c>
      <c r="O1399" t="n">
        <v>-100</v>
      </c>
      <c r="P1399" t="n">
        <v>0.01984</v>
      </c>
      <c r="Q1399" t="n">
        <v>-100</v>
      </c>
      <c r="R1399" t="n">
        <v>0.1874</v>
      </c>
      <c r="S1399">
        <f>IMAGE("https://mitra.stanford.edu/kundaje/oak/projects/neuro-variants/variant_position/credible/roussos_2024/variant_figures/roussos_2024.childhood.Astrocyte/rs9972744_count_position.png",4,220,900)</f>
        <v/>
      </c>
      <c r="T1399">
        <f>IMAGE("https://mitra.stanford.edu/kundaje/oak/projects/neuro-variants/variant_position/credible/roussos_2024/variant_figures/roussos_2024.childhood.Astrocyte/rs9972744_profile_position.png",4,220,900)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-0.00501867572</v>
      </c>
      <c r="G1400" t="n">
        <v>0.6880658797213951</v>
      </c>
      <c r="H1400" t="n">
        <v>0.0261632248611386</v>
      </c>
      <c r="I1400" t="n">
        <v>0.0502278662781544</v>
      </c>
      <c r="J1400" t="n">
        <v>0.1427835405646767</v>
      </c>
      <c r="K1400" t="n">
        <v>0.2619871929368627</v>
      </c>
      <c r="L1400" t="b">
        <v>0</v>
      </c>
      <c r="M1400" t="b">
        <v>0</v>
      </c>
      <c r="N1400" t="inlineStr">
        <is>
          <t>ref</t>
        </is>
      </c>
      <c r="O1400" t="n">
        <v>-85</v>
      </c>
      <c r="P1400" t="n">
        <v>0.03174</v>
      </c>
      <c r="Q1400" t="n">
        <v>-85</v>
      </c>
      <c r="R1400" t="n">
        <v>0.1716</v>
      </c>
      <c r="S1400">
        <f>IMAGE("https://mitra.stanford.edu/kundaje/oak/projects/neuro-variants/variant_position/credible/roussos_2024/variant_figures/roussos_2024.childhood.Astrocyte/rs11648283_count_position.png",4,220,900)</f>
        <v/>
      </c>
      <c r="T1400">
        <f>IMAGE("https://mitra.stanford.edu/kundaje/oak/projects/neuro-variants/variant_position/credible/roussos_2024/variant_figures/roussos_2024.childhood.Astrocyte/rs11648283_profile_position.png",4,220,900)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0.09770748059999999</v>
      </c>
      <c r="G1401" t="n">
        <v>0.0855850242240066</v>
      </c>
      <c r="H1401" t="n">
        <v>0.0176860324283443</v>
      </c>
      <c r="I1401" t="n">
        <v>0.1865065772241979</v>
      </c>
      <c r="J1401" t="n">
        <v>0.0598619984276369</v>
      </c>
      <c r="K1401" t="n">
        <v>0.4221784128553234</v>
      </c>
      <c r="L1401" t="b">
        <v>0</v>
      </c>
      <c r="M1401" t="b">
        <v>0</v>
      </c>
      <c r="N1401" t="inlineStr">
        <is>
          <t>alt</t>
        </is>
      </c>
      <c r="O1401" t="n">
        <v>65</v>
      </c>
      <c r="P1401" t="n">
        <v>0.01172</v>
      </c>
      <c r="Q1401" t="n">
        <v>65</v>
      </c>
      <c r="R1401" t="n">
        <v>0.1716</v>
      </c>
      <c r="S1401">
        <f>IMAGE("https://mitra.stanford.edu/kundaje/oak/projects/neuro-variants/variant_position/credible/roussos_2024/variant_figures/roussos_2024.childhood.Astrocyte/rs9930307_count_position.png",4,220,900)</f>
        <v/>
      </c>
      <c r="T1401">
        <f>IMAGE("https://mitra.stanford.edu/kundaje/oak/projects/neuro-variants/variant_position/credible/roussos_2024/variant_figures/roussos_2024.childhood.Astrocyte/rs9930307_profile_position.png",4,220,900)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0.115436297</v>
      </c>
      <c r="G1402" t="n">
        <v>0.0578521356519291</v>
      </c>
      <c r="H1402" t="n">
        <v>0.0134784277955617</v>
      </c>
      <c r="I1402" t="n">
        <v>0.3939201332496567</v>
      </c>
      <c r="J1402" t="n">
        <v>0.0644470396067565</v>
      </c>
      <c r="K1402" t="n">
        <v>0.4077651532630274</v>
      </c>
      <c r="L1402" t="b">
        <v>0</v>
      </c>
      <c r="M1402" t="b">
        <v>0</v>
      </c>
      <c r="N1402" t="inlineStr">
        <is>
          <t>alt</t>
        </is>
      </c>
      <c r="O1402" t="n">
        <v>-10</v>
      </c>
      <c r="P1402" t="n">
        <v>0.003296</v>
      </c>
      <c r="Q1402" t="n">
        <v>-10</v>
      </c>
      <c r="R1402" t="n">
        <v>0.0503</v>
      </c>
      <c r="S1402">
        <f>IMAGE("https://mitra.stanford.edu/kundaje/oak/projects/neuro-variants/variant_position/credible/roussos_2024/variant_figures/roussos_2024.childhood.Astrocyte/rs9940856_count_position.png",4,220,900)</f>
        <v/>
      </c>
      <c r="T1402">
        <f>IMAGE("https://mitra.stanford.edu/kundaje/oak/projects/neuro-variants/variant_position/credible/roussos_2024/variant_figures/roussos_2024.childhood.Astrocyte/rs9940856_profile_position.png",4,220,900)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-0.0253109434</v>
      </c>
      <c r="G1403" t="n">
        <v>0.4495208047342924</v>
      </c>
      <c r="H1403" t="n">
        <v>0.0313999805727358</v>
      </c>
      <c r="I1403" t="n">
        <v>0.0253343821706413</v>
      </c>
      <c r="J1403" t="n">
        <v>0.0271469243510185</v>
      </c>
      <c r="K1403" t="n">
        <v>0.5428468487452083</v>
      </c>
      <c r="L1403" t="b">
        <v>0</v>
      </c>
      <c r="M1403" t="b">
        <v>0</v>
      </c>
      <c r="N1403" t="inlineStr">
        <is>
          <t>ref</t>
        </is>
      </c>
      <c r="O1403" t="n">
        <v>0</v>
      </c>
      <c r="P1403" t="n">
        <v>0</v>
      </c>
      <c r="Q1403" t="n">
        <v>-100</v>
      </c>
      <c r="R1403" t="n">
        <v>0.1509</v>
      </c>
      <c r="S1403">
        <f>IMAGE("https://mitra.stanford.edu/kundaje/oak/projects/neuro-variants/variant_position/credible/roussos_2024/variant_figures/roussos_2024.childhood.Astrocyte/rs7184107_count_position.png",4,220,900)</f>
        <v/>
      </c>
      <c r="T1403">
        <f>IMAGE("https://mitra.stanford.edu/kundaje/oak/projects/neuro-variants/variant_position/credible/roussos_2024/variant_figures/roussos_2024.childhood.Astrocyte/rs7184107_profile_position.png",4,220,900)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-0.0846377356</v>
      </c>
      <c r="G1404" t="n">
        <v>0.1126807618988225</v>
      </c>
      <c r="H1404" t="n">
        <v>0.0145537125343367</v>
      </c>
      <c r="I1404" t="n">
        <v>0.3234705037660094</v>
      </c>
      <c r="J1404" t="n">
        <v>0.1752993977696869</v>
      </c>
      <c r="K1404" t="n">
        <v>0.2226322256001266</v>
      </c>
      <c r="L1404" t="b">
        <v>0</v>
      </c>
      <c r="M1404" t="b">
        <v>0</v>
      </c>
      <c r="N1404" t="inlineStr">
        <is>
          <t>ref</t>
        </is>
      </c>
      <c r="O1404" t="n">
        <v>-75</v>
      </c>
      <c r="P1404" t="n">
        <v>0.02997</v>
      </c>
      <c r="Q1404" t="n">
        <v>10</v>
      </c>
      <c r="R1404" t="n">
        <v>0.00757</v>
      </c>
      <c r="S1404">
        <f>IMAGE("https://mitra.stanford.edu/kundaje/oak/projects/neuro-variants/variant_position/credible/roussos_2024/variant_figures/roussos_2024.childhood.Astrocyte/rs10468229_count_position.png",4,220,900)</f>
        <v/>
      </c>
      <c r="T1404">
        <f>IMAGE("https://mitra.stanford.edu/kundaje/oak/projects/neuro-variants/variant_position/credible/roussos_2024/variant_figures/roussos_2024.childhood.Astrocyte/rs10468229_profile_position.png",4,220,900)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0.0633274716</v>
      </c>
      <c r="G1405" t="n">
        <v>0.1609878813847974</v>
      </c>
      <c r="H1405" t="n">
        <v>0.0165423609855034</v>
      </c>
      <c r="I1405" t="n">
        <v>0.2237528968035196</v>
      </c>
      <c r="J1405" t="n">
        <v>0.0126880538572507</v>
      </c>
      <c r="K1405" t="n">
        <v>0.671326643690484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0.011536</v>
      </c>
      <c r="Q1405" t="n">
        <v>95</v>
      </c>
      <c r="R1405" t="n">
        <v>0.252</v>
      </c>
      <c r="S1405">
        <f>IMAGE("https://mitra.stanford.edu/kundaje/oak/projects/neuro-variants/variant_position/credible/roussos_2024/variant_figures/roussos_2024.childhood.Astrocyte/rs11649466_count_position.png",4,220,900)</f>
        <v/>
      </c>
      <c r="T1405">
        <f>IMAGE("https://mitra.stanford.edu/kundaje/oak/projects/neuro-variants/variant_position/credible/roussos_2024/variant_figures/roussos_2024.childhood.Astrocyte/rs11649466_profile_position.png",4,220,900)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0.0591850846</v>
      </c>
      <c r="G1406" t="n">
        <v>0.1712688059776489</v>
      </c>
      <c r="H1406" t="n">
        <v>0.0127625732383252</v>
      </c>
      <c r="I1406" t="n">
        <v>0.44039032858765</v>
      </c>
      <c r="J1406" t="n">
        <v>0.0048163159381129</v>
      </c>
      <c r="K1406" t="n">
        <v>0.7825734220863692</v>
      </c>
      <c r="L1406" t="b">
        <v>0</v>
      </c>
      <c r="M1406" t="b">
        <v>0</v>
      </c>
      <c r="N1406" t="inlineStr">
        <is>
          <t>alt</t>
        </is>
      </c>
      <c r="O1406" t="n">
        <v>-70</v>
      </c>
      <c r="P1406" t="n">
        <v>0.01438</v>
      </c>
      <c r="Q1406" t="n">
        <v>20</v>
      </c>
      <c r="R1406" t="n">
        <v>0.0604</v>
      </c>
      <c r="S1406">
        <f>IMAGE("https://mitra.stanford.edu/kundaje/oak/projects/neuro-variants/variant_position/credible/roussos_2024/variant_figures/roussos_2024.childhood.Astrocyte/rs11645219_count_position.png",4,220,900)</f>
        <v/>
      </c>
      <c r="T1406">
        <f>IMAGE("https://mitra.stanford.edu/kundaje/oak/projects/neuro-variants/variant_position/credible/roussos_2024/variant_figures/roussos_2024.childhood.Astrocyte/rs11645219_profile_position.png",4,220,900)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-0.013137141</v>
      </c>
      <c r="G1407" t="n">
        <v>0.6630687681374287</v>
      </c>
      <c r="H1407" t="n">
        <v>0.0349570040927825</v>
      </c>
      <c r="I1407" t="n">
        <v>0.016341464718066</v>
      </c>
      <c r="J1407" t="n">
        <v>0.036429972598139</v>
      </c>
      <c r="K1407" t="n">
        <v>0.5132938828079813</v>
      </c>
      <c r="L1407" t="b">
        <v>1</v>
      </c>
      <c r="M1407" t="b">
        <v>0</v>
      </c>
      <c r="N1407" t="inlineStr">
        <is>
          <t>ref</t>
        </is>
      </c>
      <c r="O1407" t="n">
        <v>-100</v>
      </c>
      <c r="P1407" t="n">
        <v>0.2311</v>
      </c>
      <c r="Q1407" t="n">
        <v>-95</v>
      </c>
      <c r="R1407" t="n">
        <v>0.217</v>
      </c>
      <c r="S1407">
        <f>IMAGE("https://mitra.stanford.edu/kundaje/oak/projects/neuro-variants/variant_position/credible/roussos_2024/variant_figures/roussos_2024.childhood.Astrocyte/rs1420042_count_position.png",4,220,900)</f>
        <v/>
      </c>
      <c r="T1407">
        <f>IMAGE("https://mitra.stanford.edu/kundaje/oak/projects/neuro-variants/variant_position/credible/roussos_2024/variant_figures/roussos_2024.childhood.Astrocyte/rs1420042_profile_position.png",4,220,900)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-0.027924755</v>
      </c>
      <c r="G1408" t="n">
        <v>0.2336638944295715</v>
      </c>
      <c r="H1408" t="n">
        <v>0.0090414930337073</v>
      </c>
      <c r="I1408" t="n">
        <v>0.7886795121964472</v>
      </c>
      <c r="J1408" t="n">
        <v>0.2135734621755093</v>
      </c>
      <c r="K1408" t="n">
        <v>0.1966689352615695</v>
      </c>
      <c r="L1408" t="b">
        <v>0</v>
      </c>
      <c r="M1408" t="b">
        <v>0</v>
      </c>
      <c r="N1408" t="inlineStr">
        <is>
          <t>ref</t>
        </is>
      </c>
      <c r="O1408" t="n">
        <v>100</v>
      </c>
      <c r="P1408" t="n">
        <v>0.01219</v>
      </c>
      <c r="Q1408" t="n">
        <v>30</v>
      </c>
      <c r="R1408" t="n">
        <v>0.0542</v>
      </c>
      <c r="S1408">
        <f>IMAGE("https://mitra.stanford.edu/kundaje/oak/projects/neuro-variants/variant_position/credible/roussos_2024/variant_figures/roussos_2024.childhood.Astrocyte/rs7196708_count_position.png",4,220,900)</f>
        <v/>
      </c>
      <c r="T1408">
        <f>IMAGE("https://mitra.stanford.edu/kundaje/oak/projects/neuro-variants/variant_position/credible/roussos_2024/variant_figures/roussos_2024.childhood.Astrocyte/rs7196708_profile_position.png",4,220,900)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0.086847389</v>
      </c>
      <c r="G1409" t="n">
        <v>0.09228732160870461</v>
      </c>
      <c r="H1409" t="n">
        <v>0.012627239081412</v>
      </c>
      <c r="I1409" t="n">
        <v>0.4533509953150739</v>
      </c>
      <c r="J1409" t="n">
        <v>0.4722325265431675</v>
      </c>
      <c r="K1409" t="n">
        <v>0.06260135937303909</v>
      </c>
      <c r="L1409" t="b">
        <v>0</v>
      </c>
      <c r="M1409" t="b">
        <v>0</v>
      </c>
      <c r="N1409" t="inlineStr">
        <is>
          <t>alt</t>
        </is>
      </c>
      <c r="O1409" t="n">
        <v>15</v>
      </c>
      <c r="P1409" t="n">
        <v>0.002472</v>
      </c>
      <c r="Q1409" t="n">
        <v>-95</v>
      </c>
      <c r="R1409" t="n">
        <v>0.3867</v>
      </c>
      <c r="S1409">
        <f>IMAGE("https://mitra.stanford.edu/kundaje/oak/projects/neuro-variants/variant_position/credible/roussos_2024/variant_figures/roussos_2024.childhood.Astrocyte/rs6497523_count_position.png",4,220,900)</f>
        <v/>
      </c>
      <c r="T1409">
        <f>IMAGE("https://mitra.stanford.edu/kundaje/oak/projects/neuro-variants/variant_position/credible/roussos_2024/variant_figures/roussos_2024.childhood.Astrocyte/rs6497523_profile_position.png",4,220,900)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-0.014358808732</v>
      </c>
      <c r="G1410" t="n">
        <v>0.6279400851580547</v>
      </c>
      <c r="H1410" t="n">
        <v>0.0127166418136294</v>
      </c>
      <c r="I1410" t="n">
        <v>0.4533421646791051</v>
      </c>
      <c r="J1410" t="n">
        <v>0.0055215894605878</v>
      </c>
      <c r="K1410" t="n">
        <v>0.7603852649285742</v>
      </c>
      <c r="L1410" t="b">
        <v>0</v>
      </c>
      <c r="M1410" t="b">
        <v>0</v>
      </c>
      <c r="N1410" t="inlineStr">
        <is>
          <t>ref</t>
        </is>
      </c>
      <c r="O1410" t="n">
        <v>40</v>
      </c>
      <c r="P1410" t="n">
        <v>0.007706</v>
      </c>
      <c r="Q1410" t="n">
        <v>90</v>
      </c>
      <c r="R1410" t="n">
        <v>0.1026</v>
      </c>
      <c r="S1410">
        <f>IMAGE("https://mitra.stanford.edu/kundaje/oak/projects/neuro-variants/variant_position/credible/roussos_2024/variant_figures/roussos_2024.childhood.Astrocyte/rs35440248_count_position.png",4,220,900)</f>
        <v/>
      </c>
      <c r="T1410">
        <f>IMAGE("https://mitra.stanford.edu/kundaje/oak/projects/neuro-variants/variant_position/credible/roussos_2024/variant_figures/roussos_2024.childhood.Astrocyte/rs35440248_profile_position.png",4,220,900)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0.0124407702</v>
      </c>
      <c r="G1411" t="n">
        <v>0.6690583527852756</v>
      </c>
      <c r="H1411" t="n">
        <v>0.0438266035732132</v>
      </c>
      <c r="I1411" t="n">
        <v>0.0068837354699585</v>
      </c>
      <c r="J1411" t="n">
        <v>0.0010945478692953</v>
      </c>
      <c r="K1411" t="n">
        <v>0.9225621947246953</v>
      </c>
      <c r="L1411" t="b">
        <v>0</v>
      </c>
      <c r="M1411" t="b">
        <v>0</v>
      </c>
      <c r="N1411" t="inlineStr">
        <is>
          <t>alt</t>
        </is>
      </c>
      <c r="O1411" t="n">
        <v>70</v>
      </c>
      <c r="P1411" t="n">
        <v>0.02502</v>
      </c>
      <c r="Q1411" t="n">
        <v>60</v>
      </c>
      <c r="R1411" t="n">
        <v>0.02858</v>
      </c>
      <c r="S1411">
        <f>IMAGE("https://mitra.stanford.edu/kundaje/oak/projects/neuro-variants/variant_position/credible/roussos_2024/variant_figures/roussos_2024.childhood.Astrocyte/rs8047364_count_position.png",4,220,900)</f>
        <v/>
      </c>
      <c r="T1411">
        <f>IMAGE("https://mitra.stanford.edu/kundaje/oak/projects/neuro-variants/variant_position/credible/roussos_2024/variant_figures/roussos_2024.childhood.Astrocyte/rs8047364_profile_position.png",4,220,900)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-0.1205946856</v>
      </c>
      <c r="G1412" t="n">
        <v>0.0491491284531594</v>
      </c>
      <c r="H1412" t="n">
        <v>0.0120939763607721</v>
      </c>
      <c r="I1412" t="n">
        <v>0.5148370774920342</v>
      </c>
      <c r="J1412" t="n">
        <v>0.0490981810965323</v>
      </c>
      <c r="K1412" t="n">
        <v>0.4538711442255033</v>
      </c>
      <c r="L1412" t="b">
        <v>0</v>
      </c>
      <c r="M1412" t="b">
        <v>0</v>
      </c>
      <c r="N1412" t="inlineStr">
        <is>
          <t>ref</t>
        </is>
      </c>
      <c r="O1412" t="n">
        <v>35</v>
      </c>
      <c r="P1412" t="n">
        <v>0.005478</v>
      </c>
      <c r="Q1412" t="n">
        <v>45</v>
      </c>
      <c r="R1412" t="n">
        <v>0.1265</v>
      </c>
      <c r="S1412">
        <f>IMAGE("https://mitra.stanford.edu/kundaje/oak/projects/neuro-variants/variant_position/credible/roussos_2024/variant_figures/roussos_2024.childhood.Astrocyte/rs9933832_count_position.png",4,220,900)</f>
        <v/>
      </c>
      <c r="T1412">
        <f>IMAGE("https://mitra.stanford.edu/kundaje/oak/projects/neuro-variants/variant_position/credible/roussos_2024/variant_figures/roussos_2024.childhood.Astrocyte/rs9933832_profile_position.png",4,220,900)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-0.0333593366</v>
      </c>
      <c r="G1413" t="n">
        <v>0.3553767067493354</v>
      </c>
      <c r="H1413" t="n">
        <v>0.0097136496961164</v>
      </c>
      <c r="I1413" t="n">
        <v>0.7518460011100948</v>
      </c>
      <c r="J1413" t="n">
        <v>0.1934586644073488</v>
      </c>
      <c r="K1413" t="n">
        <v>0.208034034915966</v>
      </c>
      <c r="L1413" t="b">
        <v>0</v>
      </c>
      <c r="M1413" t="b">
        <v>0</v>
      </c>
      <c r="N1413" t="inlineStr">
        <is>
          <t>ref</t>
        </is>
      </c>
      <c r="O1413" t="n">
        <v>-10</v>
      </c>
      <c r="P1413" t="n">
        <v>0.003254</v>
      </c>
      <c r="Q1413" t="n">
        <v>75</v>
      </c>
      <c r="R1413" t="n">
        <v>0.1348</v>
      </c>
      <c r="S1413">
        <f>IMAGE("https://mitra.stanford.edu/kundaje/oak/projects/neuro-variants/variant_position/credible/roussos_2024/variant_figures/roussos_2024.childhood.Astrocyte/rs727605_count_position.png",4,220,900)</f>
        <v/>
      </c>
      <c r="T1413">
        <f>IMAGE("https://mitra.stanford.edu/kundaje/oak/projects/neuro-variants/variant_position/credible/roussos_2024/variant_figures/roussos_2024.childhood.Astrocyte/rs727605_profile_position.png",4,220,900)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0.0061570850199999</v>
      </c>
      <c r="G1414" t="n">
        <v>0.4369037042181224</v>
      </c>
      <c r="H1414" t="n">
        <v>0.0285119398888622</v>
      </c>
      <c r="I1414" t="n">
        <v>0.0372778514347404</v>
      </c>
      <c r="J1414" t="n">
        <v>0.0538717531847984</v>
      </c>
      <c r="K1414" t="n">
        <v>0.4366118433446696</v>
      </c>
      <c r="L1414" t="b">
        <v>0</v>
      </c>
      <c r="M1414" t="b">
        <v>0</v>
      </c>
      <c r="N1414" t="inlineStr">
        <is>
          <t>alt</t>
        </is>
      </c>
      <c r="O1414" t="n">
        <v>70</v>
      </c>
      <c r="P1414" t="n">
        <v>0.015045</v>
      </c>
      <c r="Q1414" t="n">
        <v>-40</v>
      </c>
      <c r="R1414" t="n">
        <v>0.03503</v>
      </c>
      <c r="S1414">
        <f>IMAGE("https://mitra.stanford.edu/kundaje/oak/projects/neuro-variants/variant_position/credible/roussos_2024/variant_figures/roussos_2024.childhood.Astrocyte/rs9939815_count_position.png",4,220,900)</f>
        <v/>
      </c>
      <c r="T1414">
        <f>IMAGE("https://mitra.stanford.edu/kundaje/oak/projects/neuro-variants/variant_position/credible/roussos_2024/variant_figures/roussos_2024.childhood.Astrocyte/rs9939815_profile_position.png",4,220,900)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0.0506490354</v>
      </c>
      <c r="G1415" t="n">
        <v>0.1834154143920583</v>
      </c>
      <c r="H1415" t="n">
        <v>0.0431712854848688</v>
      </c>
      <c r="I1415" t="n">
        <v>0.0071197322940431</v>
      </c>
      <c r="J1415" t="n">
        <v>0.0602840939448756</v>
      </c>
      <c r="K1415" t="n">
        <v>0.418136541106179</v>
      </c>
      <c r="L1415" t="b">
        <v>1</v>
      </c>
      <c r="M1415" t="b">
        <v>1</v>
      </c>
      <c r="N1415" t="inlineStr">
        <is>
          <t>alt</t>
        </is>
      </c>
      <c r="O1415" t="n">
        <v>60</v>
      </c>
      <c r="P1415" t="n">
        <v>0.011505</v>
      </c>
      <c r="Q1415" t="n">
        <v>-40</v>
      </c>
      <c r="R1415" t="n">
        <v>0.015015</v>
      </c>
      <c r="S1415">
        <f>IMAGE("https://mitra.stanford.edu/kundaje/oak/projects/neuro-variants/variant_position/credible/roussos_2024/variant_figures/roussos_2024.childhood.Astrocyte/rs9939817_count_position.png",4,220,900)</f>
        <v/>
      </c>
      <c r="T1415">
        <f>IMAGE("https://mitra.stanford.edu/kundaje/oak/projects/neuro-variants/variant_position/credible/roussos_2024/variant_figures/roussos_2024.childhood.Astrocyte/rs9939817_profile_position.png",4,220,900)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-0.0560707357999999</v>
      </c>
      <c r="G1416" t="n">
        <v>0.1983452184999031</v>
      </c>
      <c r="H1416" t="n">
        <v>0.0183116881328894</v>
      </c>
      <c r="I1416" t="n">
        <v>0.1694641706850989</v>
      </c>
      <c r="J1416" t="n">
        <v>0.0621274224695258</v>
      </c>
      <c r="K1416" t="n">
        <v>0.4112324704875255</v>
      </c>
      <c r="L1416" t="b">
        <v>0</v>
      </c>
      <c r="M1416" t="b">
        <v>0</v>
      </c>
      <c r="N1416" t="inlineStr">
        <is>
          <t>ref</t>
        </is>
      </c>
      <c r="O1416" t="n">
        <v>-10</v>
      </c>
      <c r="P1416" t="n">
        <v>0.000496</v>
      </c>
      <c r="Q1416" t="n">
        <v>-100</v>
      </c>
      <c r="R1416" t="n">
        <v>0.04065</v>
      </c>
      <c r="S1416">
        <f>IMAGE("https://mitra.stanford.edu/kundaje/oak/projects/neuro-variants/variant_position/credible/roussos_2024/variant_figures/roussos_2024.childhood.Astrocyte/rs7196023_count_position.png",4,220,900)</f>
        <v/>
      </c>
      <c r="T1416">
        <f>IMAGE("https://mitra.stanford.edu/kundaje/oak/projects/neuro-variants/variant_position/credible/roussos_2024/variant_figures/roussos_2024.childhood.Astrocyte/rs7196023_profile_position.png",4,220,900)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-0.01333259674</v>
      </c>
      <c r="G1417" t="n">
        <v>0.669947120261972</v>
      </c>
      <c r="H1417" t="n">
        <v>0.0110760536185888</v>
      </c>
      <c r="I1417" t="n">
        <v>0.6013809199302229</v>
      </c>
      <c r="J1417" t="n">
        <v>0.1049216489966644</v>
      </c>
      <c r="K1417" t="n">
        <v>0.3303390593410372</v>
      </c>
      <c r="L1417" t="b">
        <v>0</v>
      </c>
      <c r="M1417" t="b">
        <v>0</v>
      </c>
      <c r="N1417" t="inlineStr">
        <is>
          <t>ref</t>
        </is>
      </c>
      <c r="O1417" t="n">
        <v>-75</v>
      </c>
      <c r="P1417" t="n">
        <v>0.011696</v>
      </c>
      <c r="Q1417" t="n">
        <v>-90</v>
      </c>
      <c r="R1417" t="n">
        <v>0.2488</v>
      </c>
      <c r="S1417">
        <f>IMAGE("https://mitra.stanford.edu/kundaje/oak/projects/neuro-variants/variant_position/credible/roussos_2024/variant_figures/roussos_2024.childhood.Astrocyte/rs16966529_count_position.png",4,220,900)</f>
        <v/>
      </c>
      <c r="T1417">
        <f>IMAGE("https://mitra.stanford.edu/kundaje/oak/projects/neuro-variants/variant_position/credible/roussos_2024/variant_figures/roussos_2024.childhood.Astrocyte/rs16966529_profile_position.png",4,220,900)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0.0845938016</v>
      </c>
      <c r="G1418" t="n">
        <v>0.106666638533416</v>
      </c>
      <c r="H1418" t="n">
        <v>0.0174463407522306</v>
      </c>
      <c r="I1418" t="n">
        <v>0.1966402998962693</v>
      </c>
      <c r="J1418" t="n">
        <v>0.0068954989199544</v>
      </c>
      <c r="K1418" t="n">
        <v>0.7394501906314902</v>
      </c>
      <c r="L1418" t="b">
        <v>0</v>
      </c>
      <c r="M1418" t="b">
        <v>0</v>
      </c>
      <c r="N1418" t="inlineStr">
        <is>
          <t>alt</t>
        </is>
      </c>
      <c r="O1418" t="n">
        <v>95</v>
      </c>
      <c r="P1418" t="n">
        <v>0.009639999999999999</v>
      </c>
      <c r="Q1418" t="n">
        <v>85</v>
      </c>
      <c r="R1418" t="n">
        <v>0.1135</v>
      </c>
      <c r="S1418">
        <f>IMAGE("https://mitra.stanford.edu/kundaje/oak/projects/neuro-variants/variant_position/credible/roussos_2024/variant_figures/roussos_2024.childhood.Astrocyte/rs76655943_count_position.png",4,220,900)</f>
        <v/>
      </c>
      <c r="T1418">
        <f>IMAGE("https://mitra.stanford.edu/kundaje/oak/projects/neuro-variants/variant_position/credible/roussos_2024/variant_figures/roussos_2024.childhood.Astrocyte/rs76655943_profile_position.png",4,220,900)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-0.00355095208</v>
      </c>
      <c r="G1419" t="n">
        <v>0.8327118527651023</v>
      </c>
      <c r="H1419" t="n">
        <v>0.0384436279403276</v>
      </c>
      <c r="I1419" t="n">
        <v>0.011481637560101</v>
      </c>
      <c r="J1419" t="n">
        <v>0.3338393899842</v>
      </c>
      <c r="K1419" t="n">
        <v>0.1155334656271195</v>
      </c>
      <c r="L1419" t="b">
        <v>1</v>
      </c>
      <c r="M1419" t="b">
        <v>0</v>
      </c>
      <c r="N1419" t="inlineStr">
        <is>
          <t>ref</t>
        </is>
      </c>
      <c r="O1419" t="n">
        <v>30</v>
      </c>
      <c r="P1419" t="n">
        <v>0.001709</v>
      </c>
      <c r="Q1419" t="n">
        <v>30</v>
      </c>
      <c r="R1419" t="n">
        <v>0.07666000000000001</v>
      </c>
      <c r="S1419">
        <f>IMAGE("https://mitra.stanford.edu/kundaje/oak/projects/neuro-variants/variant_position/credible/roussos_2024/variant_figures/roussos_2024.childhood.Astrocyte/rs28610230_count_position.png",4,220,900)</f>
        <v/>
      </c>
      <c r="T1419">
        <f>IMAGE("https://mitra.stanford.edu/kundaje/oak/projects/neuro-variants/variant_position/credible/roussos_2024/variant_figures/roussos_2024.childhood.Astrocyte/rs28610230_profile_position.png",4,220,900)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0.05506617</v>
      </c>
      <c r="G1420" t="n">
        <v>0.1401499892480831</v>
      </c>
      <c r="H1420" t="n">
        <v>0.0192178456972851</v>
      </c>
      <c r="I1420" t="n">
        <v>0.1546440638246057</v>
      </c>
      <c r="J1420" t="n">
        <v>0.0573553769473257</v>
      </c>
      <c r="K1420" t="n">
        <v>0.4369751045859348</v>
      </c>
      <c r="L1420" t="b">
        <v>0</v>
      </c>
      <c r="M1420" t="b">
        <v>0</v>
      </c>
      <c r="N1420" t="inlineStr">
        <is>
          <t>alt</t>
        </is>
      </c>
      <c r="O1420" t="n">
        <v>95</v>
      </c>
      <c r="P1420" t="n">
        <v>0.002151</v>
      </c>
      <c r="Q1420" t="n">
        <v>-15</v>
      </c>
      <c r="R1420" t="n">
        <v>0.02612</v>
      </c>
      <c r="S1420">
        <f>IMAGE("https://mitra.stanford.edu/kundaje/oak/projects/neuro-variants/variant_position/credible/roussos_2024/variant_figures/roussos_2024.childhood.Astrocyte/rs55761603_count_position.png",4,220,900)</f>
        <v/>
      </c>
      <c r="T1420">
        <f>IMAGE("https://mitra.stanford.edu/kundaje/oak/projects/neuro-variants/variant_position/credible/roussos_2024/variant_figures/roussos_2024.childhood.Astrocyte/rs55761603_profile_position.png",4,220,900)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0.01282580378</v>
      </c>
      <c r="G1421" t="n">
        <v>0.6327843713574715</v>
      </c>
      <c r="H1421" t="n">
        <v>0.0148384173269398</v>
      </c>
      <c r="I1421" t="n">
        <v>0.3110196487315952</v>
      </c>
      <c r="J1421" t="n">
        <v>0.4735117889064444</v>
      </c>
      <c r="K1421" t="n">
        <v>0.0610515389719674</v>
      </c>
      <c r="L1421" t="b">
        <v>0</v>
      </c>
      <c r="M1421" t="b">
        <v>0</v>
      </c>
      <c r="N1421" t="inlineStr">
        <is>
          <t>alt</t>
        </is>
      </c>
      <c r="O1421" t="n">
        <v>100</v>
      </c>
      <c r="P1421" t="n">
        <v>0.06884999999999999</v>
      </c>
      <c r="Q1421" t="n">
        <v>100</v>
      </c>
      <c r="R1421" t="n">
        <v>0.7734</v>
      </c>
      <c r="S1421">
        <f>IMAGE("https://mitra.stanford.edu/kundaje/oak/projects/neuro-variants/variant_position/credible/roussos_2024/variant_figures/roussos_2024.childhood.Astrocyte/rs9926924_count_position.png",4,220,900)</f>
        <v/>
      </c>
      <c r="T1421">
        <f>IMAGE("https://mitra.stanford.edu/kundaje/oak/projects/neuro-variants/variant_position/credible/roussos_2024/variant_figures/roussos_2024.childhood.Astrocyte/rs9926924_profile_position.png",4,220,900)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0.039419419</v>
      </c>
      <c r="G1422" t="n">
        <v>0.2051369597438488</v>
      </c>
      <c r="H1422" t="n">
        <v>0.0150416113842963</v>
      </c>
      <c r="I1422" t="n">
        <v>0.2931991567994633</v>
      </c>
      <c r="J1422" t="n">
        <v>0.1507361864853106</v>
      </c>
      <c r="K1422" t="n">
        <v>0.2518468844916527</v>
      </c>
      <c r="L1422" t="b">
        <v>0</v>
      </c>
      <c r="M1422" t="b">
        <v>0</v>
      </c>
      <c r="N1422" t="inlineStr">
        <is>
          <t>alt</t>
        </is>
      </c>
      <c r="O1422" t="n">
        <v>-5</v>
      </c>
      <c r="P1422" t="n">
        <v>0.0001678</v>
      </c>
      <c r="Q1422" t="n">
        <v>-15</v>
      </c>
      <c r="R1422" t="n">
        <v>0.01965</v>
      </c>
      <c r="S1422">
        <f>IMAGE("https://mitra.stanford.edu/kundaje/oak/projects/neuro-variants/variant_position/credible/roussos_2024/variant_figures/roussos_2024.childhood.Astrocyte/rs2283541_count_position.png",4,220,900)</f>
        <v/>
      </c>
      <c r="T1422">
        <f>IMAGE("https://mitra.stanford.edu/kundaje/oak/projects/neuro-variants/variant_position/credible/roussos_2024/variant_figures/roussos_2024.childhood.Astrocyte/rs2283541_profile_position.png",4,220,900)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-0.0310036224</v>
      </c>
      <c r="G1423" t="n">
        <v>0.3772336191295028</v>
      </c>
      <c r="H1423" t="n">
        <v>0.0494386724908781</v>
      </c>
      <c r="I1423" t="n">
        <v>0.0042388895506676</v>
      </c>
      <c r="J1423" t="n">
        <v>0.0046102295192079</v>
      </c>
      <c r="K1423" t="n">
        <v>0.7801998117408745</v>
      </c>
      <c r="L1423" t="b">
        <v>0</v>
      </c>
      <c r="M1423" t="b">
        <v>0</v>
      </c>
      <c r="N1423" t="inlineStr">
        <is>
          <t>ref</t>
        </is>
      </c>
      <c r="O1423" t="n">
        <v>90</v>
      </c>
      <c r="P1423" t="n">
        <v>0.00885</v>
      </c>
      <c r="Q1423" t="n">
        <v>-35</v>
      </c>
      <c r="R1423" t="n">
        <v>0.0263</v>
      </c>
      <c r="S1423">
        <f>IMAGE("https://mitra.stanford.edu/kundaje/oak/projects/neuro-variants/variant_position/credible/roussos_2024/variant_figures/roussos_2024.childhood.Astrocyte/rs11640574_count_position.png",4,220,900)</f>
        <v/>
      </c>
      <c r="T1423">
        <f>IMAGE("https://mitra.stanford.edu/kundaje/oak/projects/neuro-variants/variant_position/credible/roussos_2024/variant_figures/roussos_2024.childhood.Astrocyte/rs11640574_profile_position.png",4,220,900)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-0.0452071053</v>
      </c>
      <c r="G1424" t="n">
        <v>0.2701358437093209</v>
      </c>
      <c r="H1424" t="n">
        <v>0.0130158001351413</v>
      </c>
      <c r="I1424" t="n">
        <v>0.4188672784351877</v>
      </c>
      <c r="J1424" t="n">
        <v>0.0195476784746551</v>
      </c>
      <c r="K1424" t="n">
        <v>0.6231858542838272</v>
      </c>
      <c r="L1424" t="b">
        <v>0</v>
      </c>
      <c r="M1424" t="b">
        <v>0</v>
      </c>
      <c r="N1424" t="inlineStr">
        <is>
          <t>ref</t>
        </is>
      </c>
      <c r="O1424" t="n">
        <v>100</v>
      </c>
      <c r="P1424" t="n">
        <v>0.007347</v>
      </c>
      <c r="Q1424" t="n">
        <v>-15</v>
      </c>
      <c r="R1424" t="n">
        <v>0.1234</v>
      </c>
      <c r="S1424">
        <f>IMAGE("https://mitra.stanford.edu/kundaje/oak/projects/neuro-variants/variant_position/credible/roussos_2024/variant_figures/roussos_2024.childhood.Astrocyte/rs4788197_count_position.png",4,220,900)</f>
        <v/>
      </c>
      <c r="T1424">
        <f>IMAGE("https://mitra.stanford.edu/kundaje/oak/projects/neuro-variants/variant_position/credible/roussos_2024/variant_figures/roussos_2024.childhood.Astrocyte/rs4788197_profile_position.png",4,220,900)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0.0254121007999999</v>
      </c>
      <c r="G1425" t="n">
        <v>0.3860174680269282</v>
      </c>
      <c r="H1425" t="n">
        <v>0.0171511759767345</v>
      </c>
      <c r="I1425" t="n">
        <v>0.2061842683660041</v>
      </c>
      <c r="J1425" t="n">
        <v>0.0146222130628257</v>
      </c>
      <c r="K1425" t="n">
        <v>0.6586126077818609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0.02618</v>
      </c>
      <c r="Q1425" t="n">
        <v>100</v>
      </c>
      <c r="R1425" t="n">
        <v>0.1022</v>
      </c>
      <c r="S1425">
        <f>IMAGE("https://mitra.stanford.edu/kundaje/oak/projects/neuro-variants/variant_position/credible/roussos_2024/variant_figures/roussos_2024.childhood.Astrocyte/rs4788200_count_position.png",4,220,900)</f>
        <v/>
      </c>
      <c r="T1425">
        <f>IMAGE("https://mitra.stanford.edu/kundaje/oak/projects/neuro-variants/variant_position/credible/roussos_2024/variant_figures/roussos_2024.childhood.Astrocyte/rs4788200_profile_position.png",4,220,900)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0.00925744716</v>
      </c>
      <c r="G1426" t="n">
        <v>0.7260619416695943</v>
      </c>
      <c r="H1426" t="n">
        <v>0.0266854412684725</v>
      </c>
      <c r="I1426" t="n">
        <v>0.0460192143583008</v>
      </c>
      <c r="J1426" t="n">
        <v>0.0386824208284673</v>
      </c>
      <c r="K1426" t="n">
        <v>0.491878594625778</v>
      </c>
      <c r="L1426" t="b">
        <v>0</v>
      </c>
      <c r="M1426" t="b">
        <v>0</v>
      </c>
      <c r="N1426" t="inlineStr">
        <is>
          <t>alt</t>
        </is>
      </c>
      <c r="O1426" t="n">
        <v>-85</v>
      </c>
      <c r="P1426" t="n">
        <v>0.007385</v>
      </c>
      <c r="Q1426" t="n">
        <v>90</v>
      </c>
      <c r="R1426" t="n">
        <v>0.296</v>
      </c>
      <c r="S1426">
        <f>IMAGE("https://mitra.stanford.edu/kundaje/oak/projects/neuro-variants/variant_position/credible/roussos_2024/variant_figures/roussos_2024.childhood.Astrocyte/rs12934406_count_position.png",4,220,900)</f>
        <v/>
      </c>
      <c r="T1426">
        <f>IMAGE("https://mitra.stanford.edu/kundaje/oak/projects/neuro-variants/variant_position/credible/roussos_2024/variant_figures/roussos_2024.childhood.Astrocyte/rs12934406_profile_position.png",4,220,900)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0.00122158596</v>
      </c>
      <c r="G1427" t="n">
        <v>0.8661916457817678</v>
      </c>
      <c r="H1427" t="n">
        <v>0.0325307633367748</v>
      </c>
      <c r="I1427" t="n">
        <v>0.0219115750440115</v>
      </c>
      <c r="J1427" t="n">
        <v>0.1156946257241647</v>
      </c>
      <c r="K1427" t="n">
        <v>0.2956513679476537</v>
      </c>
      <c r="L1427" t="b">
        <v>0</v>
      </c>
      <c r="M1427" t="b">
        <v>0</v>
      </c>
      <c r="N1427" t="inlineStr">
        <is>
          <t>alt</t>
        </is>
      </c>
      <c r="O1427" t="n">
        <v>0</v>
      </c>
      <c r="P1427" t="n">
        <v>0</v>
      </c>
      <c r="Q1427" t="n">
        <v>-75</v>
      </c>
      <c r="R1427" t="n">
        <v>0.1705</v>
      </c>
      <c r="S1427">
        <f>IMAGE("https://mitra.stanford.edu/kundaje/oak/projects/neuro-variants/variant_position/credible/roussos_2024/variant_figures/roussos_2024.childhood.Astrocyte/rs9932196_count_position.png",4,220,900)</f>
        <v/>
      </c>
      <c r="T1427">
        <f>IMAGE("https://mitra.stanford.edu/kundaje/oak/projects/neuro-variants/variant_position/credible/roussos_2024/variant_figures/roussos_2024.childhood.Astrocyte/rs9932196_profile_position.png",4,220,900)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-0.0718889066</v>
      </c>
      <c r="G1428" t="n">
        <v>0.1272639574279606</v>
      </c>
      <c r="H1428" t="n">
        <v>0.0154841669218421</v>
      </c>
      <c r="I1428" t="n">
        <v>0.2743518670936768</v>
      </c>
      <c r="J1428" t="n">
        <v>0.0320746796119468</v>
      </c>
      <c r="K1428" t="n">
        <v>0.5241714345156753</v>
      </c>
      <c r="L1428" t="b">
        <v>0</v>
      </c>
      <c r="M1428" t="b">
        <v>0</v>
      </c>
      <c r="N1428" t="inlineStr">
        <is>
          <t>ref</t>
        </is>
      </c>
      <c r="O1428" t="n">
        <v>-100</v>
      </c>
      <c r="P1428" t="n">
        <v>0.003838</v>
      </c>
      <c r="Q1428" t="n">
        <v>0</v>
      </c>
      <c r="R1428" t="n">
        <v>0</v>
      </c>
      <c r="S1428">
        <f>IMAGE("https://mitra.stanford.edu/kundaje/oak/projects/neuro-variants/variant_position/credible/roussos_2024/variant_figures/roussos_2024.childhood.Astrocyte/rs11642046_count_position.png",4,220,900)</f>
        <v/>
      </c>
      <c r="T1428">
        <f>IMAGE("https://mitra.stanford.edu/kundaje/oak/projects/neuro-variants/variant_position/credible/roussos_2024/variant_figures/roussos_2024.childhood.Astrocyte/rs11642046_profile_position.png",4,220,900)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-0.017985696</v>
      </c>
      <c r="G1429" t="n">
        <v>0.577430012814093</v>
      </c>
      <c r="H1429" t="n">
        <v>0.0088726306817854</v>
      </c>
      <c r="I1429" t="n">
        <v>0.8217916303975014</v>
      </c>
      <c r="J1429" t="n">
        <v>0.328775007060368</v>
      </c>
      <c r="K1429" t="n">
        <v>0.1176795747431201</v>
      </c>
      <c r="L1429" t="b">
        <v>0</v>
      </c>
      <c r="M1429" t="b">
        <v>0</v>
      </c>
      <c r="N1429" t="inlineStr">
        <is>
          <t>ref</t>
        </is>
      </c>
      <c r="O1429" t="n">
        <v>95</v>
      </c>
      <c r="P1429" t="n">
        <v>0.002426</v>
      </c>
      <c r="Q1429" t="n">
        <v>90</v>
      </c>
      <c r="R1429" t="n">
        <v>0.2822</v>
      </c>
      <c r="S1429">
        <f>IMAGE("https://mitra.stanford.edu/kundaje/oak/projects/neuro-variants/variant_position/credible/roussos_2024/variant_figures/roussos_2024.childhood.Astrocyte/rs3814884_count_position.png",4,220,900)</f>
        <v/>
      </c>
      <c r="T1429">
        <f>IMAGE("https://mitra.stanford.edu/kundaje/oak/projects/neuro-variants/variant_position/credible/roussos_2024/variant_figures/roussos_2024.childhood.Astrocyte/rs3814884_profile_position.png",4,220,900)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-0.16934974</v>
      </c>
      <c r="G1430" t="n">
        <v>0.0266519188857638</v>
      </c>
      <c r="H1430" t="n">
        <v>0.0241199340220372</v>
      </c>
      <c r="I1430" t="n">
        <v>0.0765534671863992</v>
      </c>
      <c r="J1430" t="n">
        <v>0.2973330890827627</v>
      </c>
      <c r="K1430" t="n">
        <v>0.1336468278700848</v>
      </c>
      <c r="L1430" t="b">
        <v>0</v>
      </c>
      <c r="M1430" t="b">
        <v>0</v>
      </c>
      <c r="N1430" t="inlineStr">
        <is>
          <t>ref</t>
        </is>
      </c>
      <c r="O1430" t="n">
        <v>0</v>
      </c>
      <c r="P1430" t="n">
        <v>0</v>
      </c>
      <c r="Q1430" t="n">
        <v>80</v>
      </c>
      <c r="R1430" t="n">
        <v>0.02808</v>
      </c>
      <c r="S1430">
        <f>IMAGE("https://mitra.stanford.edu/kundaje/oak/projects/neuro-variants/variant_position/credible/roussos_2024/variant_figures/roussos_2024.childhood.Astrocyte/rs3814883_count_position.png",4,220,900)</f>
        <v/>
      </c>
      <c r="T1430">
        <f>IMAGE("https://mitra.stanford.edu/kundaje/oak/projects/neuro-variants/variant_position/credible/roussos_2024/variant_figures/roussos_2024.childhood.Astrocyte/rs3814883_profile_position.png",4,220,900)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-0.0101372063999999</v>
      </c>
      <c r="G1431" t="n">
        <v>0.1949818947643392</v>
      </c>
      <c r="H1431" t="n">
        <v>0.0140894775395239</v>
      </c>
      <c r="I1431" t="n">
        <v>0.3515502080264644</v>
      </c>
      <c r="J1431" t="n">
        <v>0.1014189431583125</v>
      </c>
      <c r="K1431" t="n">
        <v>0.3280974728801796</v>
      </c>
      <c r="L1431" t="b">
        <v>0</v>
      </c>
      <c r="M1431" t="b">
        <v>0</v>
      </c>
      <c r="N1431" t="inlineStr">
        <is>
          <t>ref</t>
        </is>
      </c>
      <c r="O1431" t="n">
        <v>-100</v>
      </c>
      <c r="P1431" t="n">
        <v>0.01678</v>
      </c>
      <c r="Q1431" t="n">
        <v>-75</v>
      </c>
      <c r="R1431" t="n">
        <v>0.1714</v>
      </c>
      <c r="S1431">
        <f>IMAGE("https://mitra.stanford.edu/kundaje/oak/projects/neuro-variants/variant_position/credible/roussos_2024/variant_figures/roussos_2024.childhood.Astrocyte/rs4787489_count_position.png",4,220,900)</f>
        <v/>
      </c>
      <c r="T1431">
        <f>IMAGE("https://mitra.stanford.edu/kundaje/oak/projects/neuro-variants/variant_position/credible/roussos_2024/variant_figures/roussos_2024.childhood.Astrocyte/rs4787489_profile_position.png",4,220,900)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0.152280204</v>
      </c>
      <c r="G1432" t="n">
        <v>0.0300549881772163</v>
      </c>
      <c r="H1432" t="n">
        <v>0.0263336537847666</v>
      </c>
      <c r="I1432" t="n">
        <v>0.0505508358562797</v>
      </c>
      <c r="J1432" t="n">
        <v>0.5670322792394649</v>
      </c>
      <c r="K1432" t="n">
        <v>0.0403590812586657</v>
      </c>
      <c r="L1432" t="b">
        <v>0</v>
      </c>
      <c r="M1432" t="b">
        <v>0</v>
      </c>
      <c r="N1432" t="inlineStr">
        <is>
          <t>alt</t>
        </is>
      </c>
      <c r="O1432" t="n">
        <v>40</v>
      </c>
      <c r="P1432" t="n">
        <v>0.00532</v>
      </c>
      <c r="Q1432" t="n">
        <v>90</v>
      </c>
      <c r="R1432" t="n">
        <v>0.1763</v>
      </c>
      <c r="S1432">
        <f>IMAGE("https://mitra.stanford.edu/kundaje/oak/projects/neuro-variants/variant_position/credible/roussos_2024/variant_figures/roussos_2024.childhood.Astrocyte/rs9924686_count_position.png",4,220,900)</f>
        <v/>
      </c>
      <c r="T1432">
        <f>IMAGE("https://mitra.stanford.edu/kundaje/oak/projects/neuro-variants/variant_position/credible/roussos_2024/variant_figures/roussos_2024.childhood.Astrocyte/rs9924686_profile_position.png",4,220,900)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-0.0275328804</v>
      </c>
      <c r="G1433" t="n">
        <v>0.3249954452493301</v>
      </c>
      <c r="H1433" t="n">
        <v>0.0111933578902296</v>
      </c>
      <c r="I1433" t="n">
        <v>0.5808186096399293</v>
      </c>
      <c r="J1433" t="n">
        <v>0.557427888835459</v>
      </c>
      <c r="K1433" t="n">
        <v>0.0424810961884847</v>
      </c>
      <c r="L1433" t="b">
        <v>0</v>
      </c>
      <c r="M1433" t="b">
        <v>0</v>
      </c>
      <c r="N1433" t="inlineStr">
        <is>
          <t>ref</t>
        </is>
      </c>
      <c r="O1433" t="n">
        <v>0</v>
      </c>
      <c r="P1433" t="n">
        <v>0</v>
      </c>
      <c r="Q1433" t="n">
        <v>-70</v>
      </c>
      <c r="R1433" t="n">
        <v>0.1436</v>
      </c>
      <c r="S1433">
        <f>IMAGE("https://mitra.stanford.edu/kundaje/oak/projects/neuro-variants/variant_position/credible/roussos_2024/variant_figures/roussos_2024.childhood.Astrocyte/rs72777107_count_position.png",4,220,900)</f>
        <v/>
      </c>
      <c r="T1433">
        <f>IMAGE("https://mitra.stanford.edu/kundaje/oak/projects/neuro-variants/variant_position/credible/roussos_2024/variant_figures/roussos_2024.childhood.Astrocyte/rs72777107_profile_position.png",4,220,900)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-0.0538205741999999</v>
      </c>
      <c r="G1434" t="n">
        <v>0.2007339972769804</v>
      </c>
      <c r="H1434" t="n">
        <v>0.0097418943329155</v>
      </c>
      <c r="I1434" t="n">
        <v>0.7402344567985188</v>
      </c>
      <c r="J1434" t="n">
        <v>0.077683893964721</v>
      </c>
      <c r="K1434" t="n">
        <v>0.3694058496335801</v>
      </c>
      <c r="L1434" t="b">
        <v>0</v>
      </c>
      <c r="M1434" t="b">
        <v>0</v>
      </c>
      <c r="N1434" t="inlineStr">
        <is>
          <t>ref</t>
        </is>
      </c>
      <c r="O1434" t="n">
        <v>-45</v>
      </c>
      <c r="P1434" t="n">
        <v>0.003311</v>
      </c>
      <c r="Q1434" t="n">
        <v>-20</v>
      </c>
      <c r="R1434" t="n">
        <v>0.04248</v>
      </c>
      <c r="S1434">
        <f>IMAGE("https://mitra.stanford.edu/kundaje/oak/projects/neuro-variants/variant_position/credible/roussos_2024/variant_figures/roussos_2024.childhood.Astrocyte/rs9928398_count_position.png",4,220,900)</f>
        <v/>
      </c>
      <c r="T1434">
        <f>IMAGE("https://mitra.stanford.edu/kundaje/oak/projects/neuro-variants/variant_position/credible/roussos_2024/variant_figures/roussos_2024.childhood.Astrocyte/rs9928398_profile_position.png",4,220,900)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0.03908216048</v>
      </c>
      <c r="G1435" t="n">
        <v>0.3188825485677972</v>
      </c>
      <c r="H1435" t="n">
        <v>0.0123154194259645</v>
      </c>
      <c r="I1435" t="n">
        <v>0.488027739326071</v>
      </c>
      <c r="J1435" t="n">
        <v>0.0694648622655766</v>
      </c>
      <c r="K1435" t="n">
        <v>0.3854441202867402</v>
      </c>
      <c r="L1435" t="b">
        <v>0</v>
      </c>
      <c r="M1435" t="b">
        <v>0</v>
      </c>
      <c r="N1435" t="inlineStr">
        <is>
          <t>alt</t>
        </is>
      </c>
      <c r="O1435" t="n">
        <v>80</v>
      </c>
      <c r="P1435" t="n">
        <v>0.09863</v>
      </c>
      <c r="Q1435" t="n">
        <v>100</v>
      </c>
      <c r="R1435" t="n">
        <v>0.1598</v>
      </c>
      <c r="S1435">
        <f>IMAGE("https://mitra.stanford.edu/kundaje/oak/projects/neuro-variants/variant_position/credible/roussos_2024/variant_figures/roussos_2024.childhood.Astrocyte/rs8056038_count_position.png",4,220,900)</f>
        <v/>
      </c>
      <c r="T1435">
        <f>IMAGE("https://mitra.stanford.edu/kundaje/oak/projects/neuro-variants/variant_position/credible/roussos_2024/variant_figures/roussos_2024.childhood.Astrocyte/rs8056038_profile_position.png",4,220,900)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0.010063518</v>
      </c>
      <c r="G1436" t="n">
        <v>0.3884025692908683</v>
      </c>
      <c r="H1436" t="n">
        <v>0.012267309962989</v>
      </c>
      <c r="I1436" t="n">
        <v>0.4893527213103821</v>
      </c>
      <c r="J1436" t="n">
        <v>0.066607893873127</v>
      </c>
      <c r="K1436" t="n">
        <v>0.3925257306403815</v>
      </c>
      <c r="L1436" t="b">
        <v>0</v>
      </c>
      <c r="M1436" t="b">
        <v>0</v>
      </c>
      <c r="N1436" t="inlineStr">
        <is>
          <t>alt</t>
        </is>
      </c>
      <c r="O1436" t="n">
        <v>75</v>
      </c>
      <c r="P1436" t="n">
        <v>0.0959</v>
      </c>
      <c r="Q1436" t="n">
        <v>100</v>
      </c>
      <c r="R1436" t="n">
        <v>0.1929</v>
      </c>
      <c r="S1436">
        <f>IMAGE("https://mitra.stanford.edu/kundaje/oak/projects/neuro-variants/variant_position/credible/roussos_2024/variant_figures/roussos_2024.childhood.Astrocyte/rs8056039_count_position.png",4,220,900)</f>
        <v/>
      </c>
      <c r="T1436">
        <f>IMAGE("https://mitra.stanford.edu/kundaje/oak/projects/neuro-variants/variant_position/credible/roussos_2024/variant_figures/roussos_2024.childhood.Astrocyte/rs8056039_profile_position.png",4,220,900)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0.0625341884</v>
      </c>
      <c r="G1437" t="n">
        <v>0.1736237045067805</v>
      </c>
      <c r="H1437" t="n">
        <v>0.0121675843582412</v>
      </c>
      <c r="I1437" t="n">
        <v>0.4700625590076744</v>
      </c>
      <c r="J1437" t="n">
        <v>0.0390434537030675</v>
      </c>
      <c r="K1437" t="n">
        <v>0.4820591224899295</v>
      </c>
      <c r="L1437" t="b">
        <v>0</v>
      </c>
      <c r="M1437" t="b">
        <v>0</v>
      </c>
      <c r="N1437" t="inlineStr">
        <is>
          <t>alt</t>
        </is>
      </c>
      <c r="O1437" t="n">
        <v>-70</v>
      </c>
      <c r="P1437" t="n">
        <v>0.011696</v>
      </c>
      <c r="Q1437" t="n">
        <v>70</v>
      </c>
      <c r="R1437" t="n">
        <v>0.1067</v>
      </c>
      <c r="S1437">
        <f>IMAGE("https://mitra.stanford.edu/kundaje/oak/projects/neuro-variants/variant_position/credible/roussos_2024/variant_figures/roussos_2024.childhood.Astrocyte/rs37035_count_position.png",4,220,900)</f>
        <v/>
      </c>
      <c r="T1437">
        <f>IMAGE("https://mitra.stanford.edu/kundaje/oak/projects/neuro-variants/variant_position/credible/roussos_2024/variant_figures/roussos_2024.childhood.Astrocyte/rs37035_profile_position.png",4,220,900)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-0.0490988989999999</v>
      </c>
      <c r="G1438" t="n">
        <v>0.2279823155230284</v>
      </c>
      <c r="H1438" t="n">
        <v>0.0114317729406489</v>
      </c>
      <c r="I1438" t="n">
        <v>0.567695606301674</v>
      </c>
      <c r="J1438" t="n">
        <v>0.0906352804683504</v>
      </c>
      <c r="K1438" t="n">
        <v>0.3407384887398121</v>
      </c>
      <c r="L1438" t="b">
        <v>0</v>
      </c>
      <c r="M1438" t="b">
        <v>0</v>
      </c>
      <c r="N1438" t="inlineStr">
        <is>
          <t>ref</t>
        </is>
      </c>
      <c r="O1438" t="n">
        <v>-100</v>
      </c>
      <c r="P1438" t="n">
        <v>0.1234</v>
      </c>
      <c r="Q1438" t="n">
        <v>45</v>
      </c>
      <c r="R1438" t="n">
        <v>0.08765000000000001</v>
      </c>
      <c r="S1438">
        <f>IMAGE("https://mitra.stanford.edu/kundaje/oak/projects/neuro-variants/variant_position/credible/roussos_2024/variant_figures/roussos_2024.childhood.Astrocyte/rs37059_count_position.png",4,220,900)</f>
        <v/>
      </c>
      <c r="T1438">
        <f>IMAGE("https://mitra.stanford.edu/kundaje/oak/projects/neuro-variants/variant_position/credible/roussos_2024/variant_figures/roussos_2024.childhood.Astrocyte/rs37059_profile_position.png",4,220,900)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0.00626904566</v>
      </c>
      <c r="G1439" t="n">
        <v>0.7917898236232732</v>
      </c>
      <c r="H1439" t="n">
        <v>0.0102871247144892</v>
      </c>
      <c r="I1439" t="n">
        <v>0.6850800526331692</v>
      </c>
      <c r="J1439" t="n">
        <v>0.0215955668521444</v>
      </c>
      <c r="K1439" t="n">
        <v>0.5869037227000355</v>
      </c>
      <c r="L1439" t="b">
        <v>0</v>
      </c>
      <c r="M1439" t="b">
        <v>0</v>
      </c>
      <c r="N1439" t="inlineStr">
        <is>
          <t>alt</t>
        </is>
      </c>
      <c r="O1439" t="n">
        <v>-95</v>
      </c>
      <c r="P1439" t="n">
        <v>0.0707</v>
      </c>
      <c r="Q1439" t="n">
        <v>95</v>
      </c>
      <c r="R1439" t="n">
        <v>0.1425</v>
      </c>
      <c r="S1439">
        <f>IMAGE("https://mitra.stanford.edu/kundaje/oak/projects/neuro-variants/variant_position/credible/roussos_2024/variant_figures/roussos_2024.childhood.Astrocyte/rs7201946_count_position.png",4,220,900)</f>
        <v/>
      </c>
      <c r="T1439">
        <f>IMAGE("https://mitra.stanford.edu/kundaje/oak/projects/neuro-variants/variant_position/credible/roussos_2024/variant_figures/roussos_2024.childhood.Astrocyte/rs7201946_profile_position.png",4,220,900)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0.00123440642</v>
      </c>
      <c r="G1440" t="n">
        <v>0.8553825808771709</v>
      </c>
      <c r="H1440" t="n">
        <v>0.0068707473628819</v>
      </c>
      <c r="I1440" t="n">
        <v>0.968284269981367</v>
      </c>
      <c r="J1440" t="n">
        <v>0.001682275804691</v>
      </c>
      <c r="K1440" t="n">
        <v>0.8717272509650503</v>
      </c>
      <c r="L1440" t="b">
        <v>0</v>
      </c>
      <c r="M1440" t="b">
        <v>0</v>
      </c>
      <c r="N1440" t="inlineStr">
        <is>
          <t>alt</t>
        </is>
      </c>
      <c r="O1440" t="n">
        <v>-80</v>
      </c>
      <c r="P1440" t="n">
        <v>0.0138</v>
      </c>
      <c r="Q1440" t="n">
        <v>-100</v>
      </c>
      <c r="R1440" t="n">
        <v>0.1489</v>
      </c>
      <c r="S1440">
        <f>IMAGE("https://mitra.stanford.edu/kundaje/oak/projects/neuro-variants/variant_position/credible/roussos_2024/variant_figures/roussos_2024.childhood.Astrocyte/rs7206744_count_position.png",4,220,900)</f>
        <v/>
      </c>
      <c r="T1440">
        <f>IMAGE("https://mitra.stanford.edu/kundaje/oak/projects/neuro-variants/variant_position/credible/roussos_2024/variant_figures/roussos_2024.childhood.Astrocyte/rs7206744_profile_position.png",4,220,900)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-0.0322653081999999</v>
      </c>
      <c r="G1441" t="n">
        <v>0.2317850100413049</v>
      </c>
      <c r="H1441" t="n">
        <v>0.0166410359589491</v>
      </c>
      <c r="I1441" t="n">
        <v>0.2200316434928205</v>
      </c>
      <c r="J1441" t="n">
        <v>0.0015525176890842</v>
      </c>
      <c r="K1441" t="n">
        <v>0.8798162639323039</v>
      </c>
      <c r="L1441" t="b">
        <v>0</v>
      </c>
      <c r="M1441" t="b">
        <v>0</v>
      </c>
      <c r="N1441" t="inlineStr">
        <is>
          <t>ref</t>
        </is>
      </c>
      <c r="O1441" t="n">
        <v>-100</v>
      </c>
      <c r="P1441" t="n">
        <v>0.01148</v>
      </c>
      <c r="Q1441" t="n">
        <v>-30</v>
      </c>
      <c r="R1441" t="n">
        <v>0.0924</v>
      </c>
      <c r="S1441">
        <f>IMAGE("https://mitra.stanford.edu/kundaje/oak/projects/neuro-variants/variant_position/credible/roussos_2024/variant_figures/roussos_2024.childhood.Astrocyte/rs9936144_count_position.png",4,220,900)</f>
        <v/>
      </c>
      <c r="T1441">
        <f>IMAGE("https://mitra.stanford.edu/kundaje/oak/projects/neuro-variants/variant_position/credible/roussos_2024/variant_figures/roussos_2024.childhood.Astrocyte/rs9936144_profile_position.png",4,220,900)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-0.0016316920519999</v>
      </c>
      <c r="G1442" t="n">
        <v>0.8332860587053154</v>
      </c>
      <c r="H1442" t="n">
        <v>0.0355213138446544</v>
      </c>
      <c r="I1442" t="n">
        <v>0.0154004675698217</v>
      </c>
      <c r="J1442" t="n">
        <v>0.0159961225221924</v>
      </c>
      <c r="K1442" t="n">
        <v>0.6250813215930706</v>
      </c>
      <c r="L1442" t="b">
        <v>1</v>
      </c>
      <c r="M1442" t="b">
        <v>0</v>
      </c>
      <c r="N1442" t="inlineStr">
        <is>
          <t>ref</t>
        </is>
      </c>
      <c r="O1442" t="n">
        <v>-75</v>
      </c>
      <c r="P1442" t="n">
        <v>0.00647</v>
      </c>
      <c r="Q1442" t="n">
        <v>-100</v>
      </c>
      <c r="R1442" t="n">
        <v>0.1853</v>
      </c>
      <c r="S1442">
        <f>IMAGE("https://mitra.stanford.edu/kundaje/oak/projects/neuro-variants/variant_position/credible/roussos_2024/variant_figures/roussos_2024.childhood.Astrocyte/rs116630925_count_position.png",4,220,900)</f>
        <v/>
      </c>
      <c r="T1442">
        <f>IMAGE("https://mitra.stanford.edu/kundaje/oak/projects/neuro-variants/variant_position/credible/roussos_2024/variant_figures/roussos_2024.childhood.Astrocyte/rs116630925_profile_position.png",4,220,900)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-0.0041928666399999</v>
      </c>
      <c r="G1443" t="n">
        <v>0.8279229189615721</v>
      </c>
      <c r="H1443" t="n">
        <v>0.0248381392814698</v>
      </c>
      <c r="I1443" t="n">
        <v>0.0604809292731702</v>
      </c>
      <c r="J1443" t="n">
        <v>0.061792341218047</v>
      </c>
      <c r="K1443" t="n">
        <v>0.4135271029360503</v>
      </c>
      <c r="L1443" t="b">
        <v>0</v>
      </c>
      <c r="M1443" t="b">
        <v>0</v>
      </c>
      <c r="N1443" t="inlineStr">
        <is>
          <t>ref</t>
        </is>
      </c>
      <c r="O1443" t="n">
        <v>0</v>
      </c>
      <c r="P1443" t="n">
        <v>0</v>
      </c>
      <c r="Q1443" t="n">
        <v>-50</v>
      </c>
      <c r="R1443" t="n">
        <v>0.02675</v>
      </c>
      <c r="S1443">
        <f>IMAGE("https://mitra.stanford.edu/kundaje/oak/projects/neuro-variants/variant_position/credible/roussos_2024/variant_figures/roussos_2024.childhood.Astrocyte/rs12443835_count_position.png",4,220,900)</f>
        <v/>
      </c>
      <c r="T1443">
        <f>IMAGE("https://mitra.stanford.edu/kundaje/oak/projects/neuro-variants/variant_position/credible/roussos_2024/variant_figures/roussos_2024.childhood.Astrocyte/rs12443835_profile_position.png",4,220,900)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-0.004554637552</v>
      </c>
      <c r="G1444" t="n">
        <v>0.7926378648027121</v>
      </c>
      <c r="H1444" t="n">
        <v>0.0117990394544801</v>
      </c>
      <c r="I1444" t="n">
        <v>0.5213280320256536</v>
      </c>
      <c r="J1444" t="n">
        <v>0.0136223122896201</v>
      </c>
      <c r="K1444" t="n">
        <v>0.6534429718407162</v>
      </c>
      <c r="L1444" t="b">
        <v>0</v>
      </c>
      <c r="M1444" t="b">
        <v>0</v>
      </c>
      <c r="N1444" t="inlineStr">
        <is>
          <t>ref</t>
        </is>
      </c>
      <c r="O1444" t="n">
        <v>90</v>
      </c>
      <c r="P1444" t="n">
        <v>0.001663</v>
      </c>
      <c r="Q1444" t="n">
        <v>65</v>
      </c>
      <c r="R1444" t="n">
        <v>0.10803</v>
      </c>
      <c r="S1444">
        <f>IMAGE("https://mitra.stanford.edu/kundaje/oak/projects/neuro-variants/variant_position/credible/roussos_2024/variant_figures/roussos_2024.childhood.Astrocyte/rs9925537_count_position.png",4,220,900)</f>
        <v/>
      </c>
      <c r="T1444">
        <f>IMAGE("https://mitra.stanford.edu/kundaje/oak/projects/neuro-variants/variant_position/credible/roussos_2024/variant_figures/roussos_2024.childhood.Astrocyte/rs9925537_profile_position.png",4,220,900)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0.1176364366</v>
      </c>
      <c r="G1445" t="n">
        <v>0.0534666956483168</v>
      </c>
      <c r="H1445" t="n">
        <v>0.0471272607173316</v>
      </c>
      <c r="I1445" t="n">
        <v>0.0060496605246005</v>
      </c>
      <c r="J1445" t="n">
        <v>0.0217108225901245</v>
      </c>
      <c r="K1445" t="n">
        <v>0.5820868810214306</v>
      </c>
      <c r="L1445" t="b">
        <v>1</v>
      </c>
      <c r="M1445" t="b">
        <v>0</v>
      </c>
      <c r="N1445" t="inlineStr">
        <is>
          <t>alt</t>
        </is>
      </c>
      <c r="O1445" t="n">
        <v>-95</v>
      </c>
      <c r="P1445" t="n">
        <v>0.03967</v>
      </c>
      <c r="Q1445" t="n">
        <v>-95</v>
      </c>
      <c r="R1445" t="n">
        <v>0.0548</v>
      </c>
      <c r="S1445">
        <f>IMAGE("https://mitra.stanford.edu/kundaje/oak/projects/neuro-variants/variant_position/credible/roussos_2024/variant_figures/roussos_2024.childhood.Astrocyte/rs154433_count_position.png",4,220,900)</f>
        <v/>
      </c>
      <c r="T1445">
        <f>IMAGE("https://mitra.stanford.edu/kundaje/oak/projects/neuro-variants/variant_position/credible/roussos_2024/variant_figures/roussos_2024.childhood.Astrocyte/rs154433_profile_position.png",4,220,900)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0.098933479</v>
      </c>
      <c r="G1446" t="n">
        <v>0.0748133308813743</v>
      </c>
      <c r="H1446" t="n">
        <v>0.0145353507617883</v>
      </c>
      <c r="I1446" t="n">
        <v>0.3241447404574132</v>
      </c>
      <c r="J1446" t="n">
        <v>0.0001595261538931</v>
      </c>
      <c r="K1446" t="n">
        <v>0.9795992254915332</v>
      </c>
      <c r="L1446" t="b">
        <v>0</v>
      </c>
      <c r="M1446" t="b">
        <v>0</v>
      </c>
      <c r="N1446" t="inlineStr">
        <is>
          <t>alt</t>
        </is>
      </c>
      <c r="O1446" t="n">
        <v>40</v>
      </c>
      <c r="P1446" t="n">
        <v>0.003662</v>
      </c>
      <c r="Q1446" t="n">
        <v>20</v>
      </c>
      <c r="R1446" t="n">
        <v>0.02277</v>
      </c>
      <c r="S1446">
        <f>IMAGE("https://mitra.stanford.edu/kundaje/oak/projects/neuro-variants/variant_position/credible/roussos_2024/variant_figures/roussos_2024.childhood.Astrocyte/rs7193419_count_position.png",4,220,900)</f>
        <v/>
      </c>
      <c r="T1446">
        <f>IMAGE("https://mitra.stanford.edu/kundaje/oak/projects/neuro-variants/variant_position/credible/roussos_2024/variant_figures/roussos_2024.childhood.Astrocyte/rs7193419_profile_position.png",4,220,900)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0.0473313036</v>
      </c>
      <c r="G1447" t="n">
        <v>0.2250384827923708</v>
      </c>
      <c r="H1447" t="n">
        <v>0.0156378706552983</v>
      </c>
      <c r="I1447" t="n">
        <v>0.26370152877496</v>
      </c>
      <c r="J1447" t="n">
        <v>0.06722386328074299</v>
      </c>
      <c r="K1447" t="n">
        <v>0.3931184208353385</v>
      </c>
      <c r="L1447" t="b">
        <v>0</v>
      </c>
      <c r="M1447" t="b">
        <v>0</v>
      </c>
      <c r="N1447" t="inlineStr">
        <is>
          <t>alt</t>
        </is>
      </c>
      <c r="O1447" t="n">
        <v>-100</v>
      </c>
      <c r="P1447" t="n">
        <v>0.006695</v>
      </c>
      <c r="Q1447" t="n">
        <v>-80</v>
      </c>
      <c r="R1447" t="n">
        <v>0.1692</v>
      </c>
      <c r="S1447">
        <f>IMAGE("https://mitra.stanford.edu/kundaje/oak/projects/neuro-variants/variant_position/credible/roussos_2024/variant_figures/roussos_2024.childhood.Astrocyte/rs6498914_count_position.png",4,220,900)</f>
        <v/>
      </c>
      <c r="T1447">
        <f>IMAGE("https://mitra.stanford.edu/kundaje/oak/projects/neuro-variants/variant_position/credible/roussos_2024/variant_figures/roussos_2024.childhood.Astrocyte/rs6498914_profile_position.png",4,220,900)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0.0242357652</v>
      </c>
      <c r="G1448" t="n">
        <v>0.4458879694056928</v>
      </c>
      <c r="H1448" t="n">
        <v>0.0221781703231858</v>
      </c>
      <c r="I1448" t="n">
        <v>0.0899888636669668</v>
      </c>
      <c r="J1448" t="n">
        <v>0.0009167029226106</v>
      </c>
      <c r="K1448" t="n">
        <v>0.9173742076899526</v>
      </c>
      <c r="L1448" t="b">
        <v>0</v>
      </c>
      <c r="M1448" t="b">
        <v>0</v>
      </c>
      <c r="N1448" t="inlineStr">
        <is>
          <t>alt</t>
        </is>
      </c>
      <c r="O1448" t="n">
        <v>95</v>
      </c>
      <c r="P1448" t="n">
        <v>0.01491</v>
      </c>
      <c r="Q1448" t="n">
        <v>-90</v>
      </c>
      <c r="R1448" t="n">
        <v>0.09533999999999999</v>
      </c>
      <c r="S1448">
        <f>IMAGE("https://mitra.stanford.edu/kundaje/oak/projects/neuro-variants/variant_position/credible/roussos_2024/variant_figures/roussos_2024.childhood.Astrocyte/rs4353494_count_position.png",4,220,900)</f>
        <v/>
      </c>
      <c r="T1448">
        <f>IMAGE("https://mitra.stanford.edu/kundaje/oak/projects/neuro-variants/variant_position/credible/roussos_2024/variant_figures/roussos_2024.childhood.Astrocyte/rs4353494_profile_position.png",4,220,900)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0.00536422</v>
      </c>
      <c r="G1449" t="n">
        <v>0.6663159174638109</v>
      </c>
      <c r="H1449" t="n">
        <v>0.007931470510544301</v>
      </c>
      <c r="I1449" t="n">
        <v>0.9034680435040028</v>
      </c>
      <c r="J1449" t="n">
        <v>0.0040850907925167</v>
      </c>
      <c r="K1449" t="n">
        <v>0.7959969348201906</v>
      </c>
      <c r="L1449" t="b">
        <v>0</v>
      </c>
      <c r="M1449" t="b">
        <v>0</v>
      </c>
      <c r="N1449" t="inlineStr">
        <is>
          <t>alt</t>
        </is>
      </c>
      <c r="O1449" t="n">
        <v>-85</v>
      </c>
      <c r="P1449" t="n">
        <v>0.0672</v>
      </c>
      <c r="Q1449" t="n">
        <v>-55</v>
      </c>
      <c r="R1449" t="n">
        <v>0.08075</v>
      </c>
      <c r="S1449">
        <f>IMAGE("https://mitra.stanford.edu/kundaje/oak/projects/neuro-variants/variant_position/credible/roussos_2024/variant_figures/roussos_2024.childhood.Astrocyte/rs10775297_count_position.png",4,220,900)</f>
        <v/>
      </c>
      <c r="T1449">
        <f>IMAGE("https://mitra.stanford.edu/kundaje/oak/projects/neuro-variants/variant_position/credible/roussos_2024/variant_figures/roussos_2024.childhood.Astrocyte/rs10775297_profile_position.png",4,220,900)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-0.00511789598</v>
      </c>
      <c r="G1450" t="n">
        <v>0.4288809877511111</v>
      </c>
      <c r="H1450" t="n">
        <v>0.012958738309304</v>
      </c>
      <c r="I1450" t="n">
        <v>0.4341253428868639</v>
      </c>
      <c r="J1450" t="n">
        <v>0.0024860128384205</v>
      </c>
      <c r="K1450" t="n">
        <v>0.8477066251806508</v>
      </c>
      <c r="L1450" t="b">
        <v>0</v>
      </c>
      <c r="M1450" t="b">
        <v>0</v>
      </c>
      <c r="N1450" t="inlineStr">
        <is>
          <t>ref</t>
        </is>
      </c>
      <c r="O1450" t="n">
        <v>55</v>
      </c>
      <c r="P1450" t="n">
        <v>0.06152</v>
      </c>
      <c r="Q1450" t="n">
        <v>10</v>
      </c>
      <c r="R1450" t="n">
        <v>0.02148</v>
      </c>
      <c r="S1450">
        <f>IMAGE("https://mitra.stanford.edu/kundaje/oak/projects/neuro-variants/variant_position/credible/roussos_2024/variant_figures/roussos_2024.childhood.Astrocyte/rs12933055_count_position.png",4,220,900)</f>
        <v/>
      </c>
      <c r="T1450">
        <f>IMAGE("https://mitra.stanford.edu/kundaje/oak/projects/neuro-variants/variant_position/credible/roussos_2024/variant_figures/roussos_2024.childhood.Astrocyte/rs12933055_profile_position.png",4,220,900)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0.00701497228</v>
      </c>
      <c r="G1451" t="n">
        <v>0.6254668279135507</v>
      </c>
      <c r="H1451" t="n">
        <v>0.0139150982600254</v>
      </c>
      <c r="I1451" t="n">
        <v>0.3637110480895811</v>
      </c>
      <c r="J1451" t="n">
        <v>0.011687389801012</v>
      </c>
      <c r="K1451" t="n">
        <v>0.6883786050129979</v>
      </c>
      <c r="L1451" t="b">
        <v>0</v>
      </c>
      <c r="M1451" t="b">
        <v>0</v>
      </c>
      <c r="N1451" t="inlineStr">
        <is>
          <t>alt</t>
        </is>
      </c>
      <c r="O1451" t="n">
        <v>-50</v>
      </c>
      <c r="P1451" t="n">
        <v>0.04254</v>
      </c>
      <c r="Q1451" t="n">
        <v>-10</v>
      </c>
      <c r="R1451" t="n">
        <v>0.02356</v>
      </c>
      <c r="S1451">
        <f>IMAGE("https://mitra.stanford.edu/kundaje/oak/projects/neuro-variants/variant_position/credible/roussos_2024/variant_figures/roussos_2024.childhood.Astrocyte/rs2926123_count_position.png",4,220,900)</f>
        <v/>
      </c>
      <c r="T1451">
        <f>IMAGE("https://mitra.stanford.edu/kundaje/oak/projects/neuro-variants/variant_position/credible/roussos_2024/variant_figures/roussos_2024.childhood.Astrocyte/rs2926123_profile_position.png",4,220,900)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-0.0212210544</v>
      </c>
      <c r="G1452" t="n">
        <v>0.5095704768689319</v>
      </c>
      <c r="H1452" t="n">
        <v>0.009998890357712901</v>
      </c>
      <c r="I1452" t="n">
        <v>0.7220876448357899</v>
      </c>
      <c r="J1452" t="n">
        <v>0.3423912130857242</v>
      </c>
      <c r="K1452" t="n">
        <v>0.1115501106742849</v>
      </c>
      <c r="L1452" t="b">
        <v>0</v>
      </c>
      <c r="M1452" t="b">
        <v>0</v>
      </c>
      <c r="N1452" t="inlineStr">
        <is>
          <t>ref</t>
        </is>
      </c>
      <c r="O1452" t="n">
        <v>100</v>
      </c>
      <c r="P1452" t="n">
        <v>0.01782</v>
      </c>
      <c r="Q1452" t="n">
        <v>100</v>
      </c>
      <c r="R1452" t="n">
        <v>0.08935999999999999</v>
      </c>
      <c r="S1452">
        <f>IMAGE("https://mitra.stanford.edu/kundaje/oak/projects/neuro-variants/variant_position/credible/roussos_2024/variant_figures/roussos_2024.childhood.Astrocyte/rs2917686_count_position.png",4,220,900)</f>
        <v/>
      </c>
      <c r="T1452">
        <f>IMAGE("https://mitra.stanford.edu/kundaje/oak/projects/neuro-variants/variant_position/credible/roussos_2024/variant_figures/roussos_2024.childhood.Astrocyte/rs2917686_profile_position.png",4,220,900)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-0.199708966</v>
      </c>
      <c r="G1453" t="n">
        <v>0.0164269542250831</v>
      </c>
      <c r="H1453" t="n">
        <v>0.0337496906096973</v>
      </c>
      <c r="I1453" t="n">
        <v>0.0204033230787079</v>
      </c>
      <c r="J1453" t="n">
        <v>0.3909764679840931</v>
      </c>
      <c r="K1453" t="n">
        <v>0.0911787590218292</v>
      </c>
      <c r="L1453" t="b">
        <v>1</v>
      </c>
      <c r="M1453" t="b">
        <v>0</v>
      </c>
      <c r="N1453" t="inlineStr">
        <is>
          <t>ref</t>
        </is>
      </c>
      <c r="O1453" t="n">
        <v>55</v>
      </c>
      <c r="P1453" t="n">
        <v>0.01895</v>
      </c>
      <c r="Q1453" t="n">
        <v>35</v>
      </c>
      <c r="R1453" t="n">
        <v>0.10205</v>
      </c>
      <c r="S1453">
        <f>IMAGE("https://mitra.stanford.edu/kundaje/oak/projects/neuro-variants/variant_position/credible/roussos_2024/variant_figures/roussos_2024.childhood.Astrocyte/rs2917688_count_position.png",4,220,900)</f>
        <v/>
      </c>
      <c r="T1453">
        <f>IMAGE("https://mitra.stanford.edu/kundaje/oak/projects/neuro-variants/variant_position/credible/roussos_2024/variant_figures/roussos_2024.childhood.Astrocyte/rs2917688_profile_position.png",4,220,900)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-0.135368212</v>
      </c>
      <c r="G1454" t="n">
        <v>0.0431134522282212</v>
      </c>
      <c r="H1454" t="n">
        <v>0.0198063383637761</v>
      </c>
      <c r="I1454" t="n">
        <v>0.1518982494795682</v>
      </c>
      <c r="J1454" t="n">
        <v>0.0128674253700013</v>
      </c>
      <c r="K1454" t="n">
        <v>0.6783364773102396</v>
      </c>
      <c r="L1454" t="b">
        <v>0</v>
      </c>
      <c r="M1454" t="b">
        <v>0</v>
      </c>
      <c r="N1454" t="inlineStr">
        <is>
          <t>ref</t>
        </is>
      </c>
      <c r="O1454" t="n">
        <v>-25</v>
      </c>
      <c r="P1454" t="n">
        <v>0.002594</v>
      </c>
      <c r="Q1454" t="n">
        <v>75</v>
      </c>
      <c r="R1454" t="n">
        <v>0.03558</v>
      </c>
      <c r="S1454">
        <f>IMAGE("https://mitra.stanford.edu/kundaje/oak/projects/neuro-variants/variant_position/credible/roussos_2024/variant_figures/roussos_2024.childhood.Astrocyte/rs2917696_count_position.png",4,220,900)</f>
        <v/>
      </c>
      <c r="T1454">
        <f>IMAGE("https://mitra.stanford.edu/kundaje/oak/projects/neuro-variants/variant_position/credible/roussos_2024/variant_figures/roussos_2024.childhood.Astrocyte/rs2917696_profile_position.png",4,220,900)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0.0363613907</v>
      </c>
      <c r="G1455" t="n">
        <v>0.3311083639176888</v>
      </c>
      <c r="H1455" t="n">
        <v>0.0182756278889392</v>
      </c>
      <c r="I1455" t="n">
        <v>0.1659320329581457</v>
      </c>
      <c r="J1455" t="n">
        <v>0.0209826505766602</v>
      </c>
      <c r="K1455" t="n">
        <v>0.5963930139598088</v>
      </c>
      <c r="L1455" t="b">
        <v>0</v>
      </c>
      <c r="M1455" t="b">
        <v>0</v>
      </c>
      <c r="N1455" t="inlineStr">
        <is>
          <t>alt</t>
        </is>
      </c>
      <c r="O1455" t="n">
        <v>35</v>
      </c>
      <c r="P1455" t="n">
        <v>0.003067</v>
      </c>
      <c r="Q1455" t="n">
        <v>70</v>
      </c>
      <c r="R1455" t="n">
        <v>0.0857</v>
      </c>
      <c r="S1455">
        <f>IMAGE("https://mitra.stanford.edu/kundaje/oak/projects/neuro-variants/variant_position/credible/roussos_2024/variant_figures/roussos_2024.childhood.Astrocyte/rs12921977_count_position.png",4,220,900)</f>
        <v/>
      </c>
      <c r="T1455">
        <f>IMAGE("https://mitra.stanford.edu/kundaje/oak/projects/neuro-variants/variant_position/credible/roussos_2024/variant_figures/roussos_2024.childhood.Astrocyte/rs12921977_profile_position.png",4,220,900)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-0.00207157018</v>
      </c>
      <c r="G1456" t="n">
        <v>0.849726742065937</v>
      </c>
      <c r="H1456" t="n">
        <v>0.0223653859638368</v>
      </c>
      <c r="I1456" t="n">
        <v>0.0858990817982497</v>
      </c>
      <c r="J1456" t="n">
        <v>0.0023783899307701</v>
      </c>
      <c r="K1456" t="n">
        <v>0.8452087158051538</v>
      </c>
      <c r="L1456" t="b">
        <v>0</v>
      </c>
      <c r="M1456" t="b">
        <v>0</v>
      </c>
      <c r="N1456" t="inlineStr">
        <is>
          <t>ref</t>
        </is>
      </c>
      <c r="O1456" t="n">
        <v>-100</v>
      </c>
      <c r="P1456" t="n">
        <v>0.005085</v>
      </c>
      <c r="Q1456" t="n">
        <v>-20</v>
      </c>
      <c r="R1456" t="n">
        <v>0.10175</v>
      </c>
      <c r="S1456">
        <f>IMAGE("https://mitra.stanford.edu/kundaje/oak/projects/neuro-variants/variant_position/credible/roussos_2024/variant_figures/roussos_2024.childhood.Astrocyte/rs8058130_count_position.png",4,220,900)</f>
        <v/>
      </c>
      <c r="T1456">
        <f>IMAGE("https://mitra.stanford.edu/kundaje/oak/projects/neuro-variants/variant_position/credible/roussos_2024/variant_figures/roussos_2024.childhood.Astrocyte/rs8058130_profile_position.png",4,220,900)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-0.1067688956</v>
      </c>
      <c r="G1457" t="n">
        <v>0.0842503954371059</v>
      </c>
      <c r="H1457" t="n">
        <v>0.0179435786365735</v>
      </c>
      <c r="I1457" t="n">
        <v>0.1753738916058456</v>
      </c>
      <c r="J1457" t="n">
        <v>0.008597620083503101</v>
      </c>
      <c r="K1457" t="n">
        <v>0.7107717402038651</v>
      </c>
      <c r="L1457" t="b">
        <v>0</v>
      </c>
      <c r="M1457" t="b">
        <v>0</v>
      </c>
      <c r="N1457" t="inlineStr">
        <is>
          <t>ref</t>
        </is>
      </c>
      <c r="O1457" t="n">
        <v>-30</v>
      </c>
      <c r="P1457" t="n">
        <v>0.004883</v>
      </c>
      <c r="Q1457" t="n">
        <v>-65</v>
      </c>
      <c r="R1457" t="n">
        <v>0.009889999999999999</v>
      </c>
      <c r="S1457">
        <f>IMAGE("https://mitra.stanford.edu/kundaje/oak/projects/neuro-variants/variant_position/credible/roussos_2024/variant_figures/roussos_2024.childhood.Astrocyte/rs934655_count_position.png",4,220,900)</f>
        <v/>
      </c>
      <c r="T1457">
        <f>IMAGE("https://mitra.stanford.edu/kundaje/oak/projects/neuro-variants/variant_position/credible/roussos_2024/variant_figures/roussos_2024.childhood.Astrocyte/rs934655_profile_position.png",4,220,900)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-0.0683871019</v>
      </c>
      <c r="G1458" t="n">
        <v>0.1698627125186839</v>
      </c>
      <c r="H1458" t="n">
        <v>0.0144389459180996</v>
      </c>
      <c r="I1458" t="n">
        <v>0.3292150850652946</v>
      </c>
      <c r="J1458" t="n">
        <v>0.0087937838229793</v>
      </c>
      <c r="K1458" t="n">
        <v>0.719948257398626</v>
      </c>
      <c r="L1458" t="b">
        <v>0</v>
      </c>
      <c r="M1458" t="b">
        <v>0</v>
      </c>
      <c r="N1458" t="inlineStr">
        <is>
          <t>ref</t>
        </is>
      </c>
      <c r="O1458" t="n">
        <v>-40</v>
      </c>
      <c r="P1458" t="n">
        <v>0.002832</v>
      </c>
      <c r="Q1458" t="n">
        <v>0</v>
      </c>
      <c r="R1458" t="n">
        <v>0</v>
      </c>
      <c r="S1458">
        <f>IMAGE("https://mitra.stanford.edu/kundaje/oak/projects/neuro-variants/variant_position/credible/roussos_2024/variant_figures/roussos_2024.childhood.Astrocyte/rs4785823_count_position.png",4,220,900)</f>
        <v/>
      </c>
      <c r="T1458">
        <f>IMAGE("https://mitra.stanford.edu/kundaje/oak/projects/neuro-variants/variant_position/credible/roussos_2024/variant_figures/roussos_2024.childhood.Astrocyte/rs4785823_profile_position.png",4,220,900)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0.00149306358</v>
      </c>
      <c r="G1459" t="n">
        <v>0.8809862771410152</v>
      </c>
      <c r="H1459" t="n">
        <v>0.025862420470924</v>
      </c>
      <c r="I1459" t="n">
        <v>0.0518265506756152</v>
      </c>
      <c r="J1459" t="n">
        <v>0.0011136299451199</v>
      </c>
      <c r="K1459" t="n">
        <v>0.8962899655521372</v>
      </c>
      <c r="L1459" t="b">
        <v>0</v>
      </c>
      <c r="M1459" t="b">
        <v>0</v>
      </c>
      <c r="N1459" t="inlineStr">
        <is>
          <t>alt</t>
        </is>
      </c>
      <c r="O1459" t="n">
        <v>65</v>
      </c>
      <c r="P1459" t="n">
        <v>0.1461</v>
      </c>
      <c r="Q1459" t="n">
        <v>50</v>
      </c>
      <c r="R1459" t="n">
        <v>0.0931</v>
      </c>
      <c r="S1459">
        <f>IMAGE("https://mitra.stanford.edu/kundaje/oak/projects/neuro-variants/variant_position/credible/roussos_2024/variant_figures/roussos_2024.childhood.Astrocyte/rs7196496_count_position.png",4,220,900)</f>
        <v/>
      </c>
      <c r="T1459">
        <f>IMAGE("https://mitra.stanford.edu/kundaje/oak/projects/neuro-variants/variant_position/credible/roussos_2024/variant_figures/roussos_2024.childhood.Astrocyte/rs7196496_profile_position.png",4,220,900)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0.0370676301999999</v>
      </c>
      <c r="G1460" t="n">
        <v>0.1200278433083164</v>
      </c>
      <c r="H1460" t="n">
        <v>0.0196023702817843</v>
      </c>
      <c r="I1460" t="n">
        <v>0.1648157395583878</v>
      </c>
      <c r="J1460" t="n">
        <v>0.114115393128926</v>
      </c>
      <c r="K1460" t="n">
        <v>0.3017087382603371</v>
      </c>
      <c r="L1460" t="b">
        <v>0</v>
      </c>
      <c r="M1460" t="b">
        <v>0</v>
      </c>
      <c r="N1460" t="inlineStr">
        <is>
          <t>alt</t>
        </is>
      </c>
      <c r="O1460" t="n">
        <v>-100</v>
      </c>
      <c r="P1460" t="n">
        <v>0.1056</v>
      </c>
      <c r="Q1460" t="n">
        <v>-100</v>
      </c>
      <c r="R1460" t="n">
        <v>0.177</v>
      </c>
      <c r="S1460">
        <f>IMAGE("https://mitra.stanford.edu/kundaje/oak/projects/neuro-variants/variant_position/credible/roussos_2024/variant_figures/roussos_2024.childhood.Astrocyte/rs11862377_count_position.png",4,220,900)</f>
        <v/>
      </c>
      <c r="T1460">
        <f>IMAGE("https://mitra.stanford.edu/kundaje/oak/projects/neuro-variants/variant_position/credible/roussos_2024/variant_figures/roussos_2024.childhood.Astrocyte/rs11862377_profile_position.png",4,220,900)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0.02736287262</v>
      </c>
      <c r="G1461" t="n">
        <v>0.41700538743215</v>
      </c>
      <c r="H1461" t="n">
        <v>0.009510762300907499</v>
      </c>
      <c r="I1461" t="n">
        <v>0.7461423304896546</v>
      </c>
      <c r="J1461" t="n">
        <v>0.0131582362055673</v>
      </c>
      <c r="K1461" t="n">
        <v>0.6622779933532494</v>
      </c>
      <c r="L1461" t="b">
        <v>0</v>
      </c>
      <c r="M1461" t="b">
        <v>0</v>
      </c>
      <c r="N1461" t="inlineStr">
        <is>
          <t>alt</t>
        </is>
      </c>
      <c r="O1461" t="n">
        <v>100</v>
      </c>
      <c r="P1461" t="n">
        <v>0.02783</v>
      </c>
      <c r="Q1461" t="n">
        <v>-10</v>
      </c>
      <c r="R1461" t="n">
        <v>0.01475</v>
      </c>
      <c r="S1461">
        <f>IMAGE("https://mitra.stanford.edu/kundaje/oak/projects/neuro-variants/variant_position/credible/roussos_2024/variant_figures/roussos_2024.childhood.Astrocyte/rs13329803_count_position.png",4,220,900)</f>
        <v/>
      </c>
      <c r="T1461">
        <f>IMAGE("https://mitra.stanford.edu/kundaje/oak/projects/neuro-variants/variant_position/credible/roussos_2024/variant_figures/roussos_2024.childhood.Astrocyte/rs13329803_profile_position.png",4,220,900)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-0.0215685058</v>
      </c>
      <c r="G1462" t="n">
        <v>0.5119221107333366</v>
      </c>
      <c r="H1462" t="n">
        <v>0.0263225221490473</v>
      </c>
      <c r="I1462" t="n">
        <v>0.0499362461074768</v>
      </c>
      <c r="J1462" t="n">
        <v>0.9492882385717448</v>
      </c>
      <c r="K1462" t="n">
        <v>0.0003135510815003</v>
      </c>
      <c r="L1462" t="b">
        <v>0</v>
      </c>
      <c r="M1462" t="b">
        <v>0</v>
      </c>
      <c r="N1462" t="inlineStr">
        <is>
          <t>ref</t>
        </is>
      </c>
      <c r="O1462" t="n">
        <v>55</v>
      </c>
      <c r="P1462" t="n">
        <v>0.06836</v>
      </c>
      <c r="Q1462" t="n">
        <v>55</v>
      </c>
      <c r="R1462" t="n">
        <v>0.09863</v>
      </c>
      <c r="S1462">
        <f>IMAGE("https://mitra.stanford.edu/kundaje/oak/projects/neuro-variants/variant_position/credible/roussos_2024/variant_figures/roussos_2024.childhood.Astrocyte/rs9929143_count_position.png",4,220,900)</f>
        <v/>
      </c>
      <c r="T1462">
        <f>IMAGE("https://mitra.stanford.edu/kundaje/oak/projects/neuro-variants/variant_position/credible/roussos_2024/variant_figures/roussos_2024.childhood.Astrocyte/rs9929143_profile_position.png",4,220,900)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0.00178706544</v>
      </c>
      <c r="G1463" t="n">
        <v>0.6201415498502312</v>
      </c>
      <c r="H1463" t="n">
        <v>0.0495509859496715</v>
      </c>
      <c r="I1463" t="n">
        <v>0.0041460321140833</v>
      </c>
      <c r="J1463" t="n">
        <v>0.0036637585583109</v>
      </c>
      <c r="K1463" t="n">
        <v>0.8074615254336146</v>
      </c>
      <c r="L1463" t="b">
        <v>0</v>
      </c>
      <c r="M1463" t="b">
        <v>0</v>
      </c>
      <c r="N1463" t="inlineStr">
        <is>
          <t>alt</t>
        </is>
      </c>
      <c r="O1463" t="n">
        <v>-20</v>
      </c>
      <c r="P1463" t="n">
        <v>0.001995</v>
      </c>
      <c r="Q1463" t="n">
        <v>-90</v>
      </c>
      <c r="R1463" t="n">
        <v>0.07630000000000001</v>
      </c>
      <c r="S1463">
        <f>IMAGE("https://mitra.stanford.edu/kundaje/oak/projects/neuro-variants/variant_position/credible/roussos_2024/variant_figures/roussos_2024.childhood.Astrocyte/rs75228693_count_position.png",4,220,900)</f>
        <v/>
      </c>
      <c r="T1463">
        <f>IMAGE("https://mitra.stanford.edu/kundaje/oak/projects/neuro-variants/variant_position/credible/roussos_2024/variant_figures/roussos_2024.childhood.Astrocyte/rs75228693_profile_position.png",4,220,900)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-0.0572860825999999</v>
      </c>
      <c r="G1464" t="n">
        <v>0.1911703694368137</v>
      </c>
      <c r="H1464" t="n">
        <v>0.0169137189889632</v>
      </c>
      <c r="I1464" t="n">
        <v>0.217960102337595</v>
      </c>
      <c r="J1464" t="n">
        <v>0.014529092532802</v>
      </c>
      <c r="K1464" t="n">
        <v>0.6376024510657514</v>
      </c>
      <c r="L1464" t="b">
        <v>0</v>
      </c>
      <c r="M1464" t="b">
        <v>0</v>
      </c>
      <c r="N1464" t="inlineStr">
        <is>
          <t>ref</t>
        </is>
      </c>
      <c r="O1464" t="n">
        <v>60</v>
      </c>
      <c r="P1464" t="n">
        <v>0.002655</v>
      </c>
      <c r="Q1464" t="n">
        <v>-25</v>
      </c>
      <c r="R1464" t="n">
        <v>0.009520000000000001</v>
      </c>
      <c r="S1464">
        <f>IMAGE("https://mitra.stanford.edu/kundaje/oak/projects/neuro-variants/variant_position/credible/roussos_2024/variant_figures/roussos_2024.childhood.Astrocyte/rs16957058_count_position.png",4,220,900)</f>
        <v/>
      </c>
      <c r="T1464">
        <f>IMAGE("https://mitra.stanford.edu/kundaje/oak/projects/neuro-variants/variant_position/credible/roussos_2024/variant_figures/roussos_2024.childhood.Astrocyte/rs16957058_profile_position.png",4,220,900)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0.06470489879999999</v>
      </c>
      <c r="G1465" t="n">
        <v>0.1680798769573425</v>
      </c>
      <c r="H1465" t="n">
        <v>0.009412152295224401</v>
      </c>
      <c r="I1465" t="n">
        <v>0.7390471756311755</v>
      </c>
      <c r="J1465" t="n">
        <v>0.0128903238609908</v>
      </c>
      <c r="K1465" t="n">
        <v>0.6555244182175574</v>
      </c>
      <c r="L1465" t="b">
        <v>0</v>
      </c>
      <c r="M1465" t="b">
        <v>0</v>
      </c>
      <c r="N1465" t="inlineStr">
        <is>
          <t>alt</t>
        </is>
      </c>
      <c r="O1465" t="n">
        <v>100</v>
      </c>
      <c r="P1465" t="n">
        <v>0.0326</v>
      </c>
      <c r="Q1465" t="n">
        <v>55</v>
      </c>
      <c r="R1465" t="n">
        <v>0.1287</v>
      </c>
      <c r="S1465">
        <f>IMAGE("https://mitra.stanford.edu/kundaje/oak/projects/neuro-variants/variant_position/credible/roussos_2024/variant_figures/roussos_2024.childhood.Astrocyte/rs3026093_count_position.png",4,220,900)</f>
        <v/>
      </c>
      <c r="T1465">
        <f>IMAGE("https://mitra.stanford.edu/kundaje/oak/projects/neuro-variants/variant_position/credible/roussos_2024/variant_figures/roussos_2024.childhood.Astrocyte/rs3026093_profile_position.png",4,220,900)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-0.0241271266</v>
      </c>
      <c r="G1466" t="n">
        <v>0.4787537131693144</v>
      </c>
      <c r="H1466" t="n">
        <v>0.0419928707940783</v>
      </c>
      <c r="I1466" t="n">
        <v>0.008272446821219</v>
      </c>
      <c r="J1466" t="n">
        <v>0.0157159976490882</v>
      </c>
      <c r="K1466" t="n">
        <v>0.6345469187458063</v>
      </c>
      <c r="L1466" t="b">
        <v>1</v>
      </c>
      <c r="M1466" t="b">
        <v>0</v>
      </c>
      <c r="N1466" t="inlineStr">
        <is>
          <t>ref</t>
        </is>
      </c>
      <c r="O1466" t="n">
        <v>-75</v>
      </c>
      <c r="P1466" t="n">
        <v>0.04013</v>
      </c>
      <c r="Q1466" t="n">
        <v>-50</v>
      </c>
      <c r="R1466" t="n">
        <v>0.09485</v>
      </c>
      <c r="S1466">
        <f>IMAGE("https://mitra.stanford.edu/kundaje/oak/projects/neuro-variants/variant_position/credible/roussos_2024/variant_figures/roussos_2024.childhood.Astrocyte/rs9932517_count_position.png",4,220,900)</f>
        <v/>
      </c>
      <c r="T1466">
        <f>IMAGE("https://mitra.stanford.edu/kundaje/oak/projects/neuro-variants/variant_position/credible/roussos_2024/variant_figures/roussos_2024.childhood.Astrocyte/rs9932517_profile_position.png",4,220,900)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0.22867919</v>
      </c>
      <c r="G1467" t="n">
        <v>0.0118205520196933</v>
      </c>
      <c r="H1467" t="n">
        <v>0.0420568414636594</v>
      </c>
      <c r="I1467" t="n">
        <v>0.0079938157023843</v>
      </c>
      <c r="J1467" t="n">
        <v>0.0858059887186767</v>
      </c>
      <c r="K1467" t="n">
        <v>0.3570594128920648</v>
      </c>
      <c r="L1467" t="b">
        <v>1</v>
      </c>
      <c r="M1467" t="b">
        <v>1</v>
      </c>
      <c r="N1467" t="inlineStr">
        <is>
          <t>alt</t>
        </is>
      </c>
      <c r="O1467" t="n">
        <v>-85</v>
      </c>
      <c r="P1467" t="n">
        <v>0.01385</v>
      </c>
      <c r="Q1467" t="n">
        <v>-50</v>
      </c>
      <c r="R1467" t="n">
        <v>0.1223</v>
      </c>
      <c r="S1467">
        <f>IMAGE("https://mitra.stanford.edu/kundaje/oak/projects/neuro-variants/variant_position/credible/roussos_2024/variant_figures/roussos_2024.childhood.Astrocyte/rs11861556_count_position.png",4,220,900)</f>
        <v/>
      </c>
      <c r="T1467">
        <f>IMAGE("https://mitra.stanford.edu/kundaje/oak/projects/neuro-variants/variant_position/credible/roussos_2024/variant_figures/roussos_2024.childhood.Astrocyte/rs11861556_profile_position.png",4,220,900)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-0.0225597108</v>
      </c>
      <c r="G1468" t="n">
        <v>0.482206054744574</v>
      </c>
      <c r="H1468" t="n">
        <v>0.0103104166688548</v>
      </c>
      <c r="I1468" t="n">
        <v>0.6912197311632428</v>
      </c>
      <c r="J1468" t="n">
        <v>0.1367528413210902</v>
      </c>
      <c r="K1468" t="n">
        <v>0.2685618669289095</v>
      </c>
      <c r="L1468" t="b">
        <v>0</v>
      </c>
      <c r="M1468" t="b">
        <v>0</v>
      </c>
      <c r="N1468" t="inlineStr">
        <is>
          <t>ref</t>
        </is>
      </c>
      <c r="O1468" t="n">
        <v>40</v>
      </c>
      <c r="P1468" t="n">
        <v>0.001396</v>
      </c>
      <c r="Q1468" t="n">
        <v>-90</v>
      </c>
      <c r="R1468" t="n">
        <v>0.1074</v>
      </c>
      <c r="S1468">
        <f>IMAGE("https://mitra.stanford.edu/kundaje/oak/projects/neuro-variants/variant_position/credible/roussos_2024/variant_figures/roussos_2024.childhood.Astrocyte/rs28442574_count_position.png",4,220,900)</f>
        <v/>
      </c>
      <c r="T1468">
        <f>IMAGE("https://mitra.stanford.edu/kundaje/oak/projects/neuro-variants/variant_position/credible/roussos_2024/variant_figures/roussos_2024.childhood.Astrocyte/rs28442574_profile_position.png",4,220,900)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-0.01073680458</v>
      </c>
      <c r="G1469" t="n">
        <v>0.7253464895733103</v>
      </c>
      <c r="H1469" t="n">
        <v>0.0110920045631443</v>
      </c>
      <c r="I1469" t="n">
        <v>0.5811844938597441</v>
      </c>
      <c r="J1469" t="n">
        <v>0.2339500660239823</v>
      </c>
      <c r="K1469" t="n">
        <v>0.1750741538940577</v>
      </c>
      <c r="L1469" t="b">
        <v>0</v>
      </c>
      <c r="M1469" t="b">
        <v>0</v>
      </c>
      <c r="N1469" t="inlineStr">
        <is>
          <t>ref</t>
        </is>
      </c>
      <c r="O1469" t="n">
        <v>25</v>
      </c>
      <c r="P1469" t="n">
        <v>0.01642</v>
      </c>
      <c r="Q1469" t="n">
        <v>75</v>
      </c>
      <c r="R1469" t="n">
        <v>0.1499</v>
      </c>
      <c r="S1469">
        <f>IMAGE("https://mitra.stanford.edu/kundaje/oak/projects/neuro-variants/variant_position/credible/roussos_2024/variant_figures/roussos_2024.childhood.Astrocyte/rs73586830_count_position.png",4,220,900)</f>
        <v/>
      </c>
      <c r="T1469">
        <f>IMAGE("https://mitra.stanford.edu/kundaje/oak/projects/neuro-variants/variant_position/credible/roussos_2024/variant_figures/roussos_2024.childhood.Astrocyte/rs73586830_profile_position.png",4,220,900)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0.0081816415</v>
      </c>
      <c r="G1470" t="n">
        <v>0.7176356025554141</v>
      </c>
      <c r="H1470" t="n">
        <v>0.008256396343842599</v>
      </c>
      <c r="I1470" t="n">
        <v>0.8722994820807322</v>
      </c>
      <c r="J1470" t="n">
        <v>0.1467686412798729</v>
      </c>
      <c r="K1470" t="n">
        <v>0.2618649290877358</v>
      </c>
      <c r="L1470" t="b">
        <v>0</v>
      </c>
      <c r="M1470" t="b">
        <v>0</v>
      </c>
      <c r="N1470" t="inlineStr">
        <is>
          <t>alt</t>
        </is>
      </c>
      <c r="O1470" t="n">
        <v>-95</v>
      </c>
      <c r="P1470" t="n">
        <v>0.005264</v>
      </c>
      <c r="Q1470" t="n">
        <v>70</v>
      </c>
      <c r="R1470" t="n">
        <v>0.1095</v>
      </c>
      <c r="S1470">
        <f>IMAGE("https://mitra.stanford.edu/kundaje/oak/projects/neuro-variants/variant_position/credible/roussos_2024/variant_figures/roussos_2024.childhood.Astrocyte/rs59454517_count_position.png",4,220,900)</f>
        <v/>
      </c>
      <c r="T1470">
        <f>IMAGE("https://mitra.stanford.edu/kundaje/oak/projects/neuro-variants/variant_position/credible/roussos_2024/variant_figures/roussos_2024.childhood.Astrocyte/rs59454517_profile_position.png",4,220,900)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-0.00753036066</v>
      </c>
      <c r="G1471" t="n">
        <v>0.4775756804049192</v>
      </c>
      <c r="H1471" t="n">
        <v>0.0115752445882188</v>
      </c>
      <c r="I1471" t="n">
        <v>0.5541933058579446</v>
      </c>
      <c r="J1471" t="n">
        <v>0.0251623884652667</v>
      </c>
      <c r="K1471" t="n">
        <v>0.5604337413948205</v>
      </c>
      <c r="L1471" t="b">
        <v>0</v>
      </c>
      <c r="M1471" t="b">
        <v>0</v>
      </c>
      <c r="N1471" t="inlineStr">
        <is>
          <t>ref</t>
        </is>
      </c>
      <c r="O1471" t="n">
        <v>-95</v>
      </c>
      <c r="P1471" t="n">
        <v>0.003857</v>
      </c>
      <c r="Q1471" t="n">
        <v>70</v>
      </c>
      <c r="R1471" t="n">
        <v>0.0257</v>
      </c>
      <c r="S1471">
        <f>IMAGE("https://mitra.stanford.edu/kundaje/oak/projects/neuro-variants/variant_position/credible/roussos_2024/variant_figures/roussos_2024.childhood.Astrocyte/rs17767961_count_position.png",4,220,900)</f>
        <v/>
      </c>
      <c r="T1471">
        <f>IMAGE("https://mitra.stanford.edu/kundaje/oak/projects/neuro-variants/variant_position/credible/roussos_2024/variant_figures/roussos_2024.childhood.Astrocyte/rs17767961_profile_position.png",4,220,900)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-0.0177510348</v>
      </c>
      <c r="G1472" t="n">
        <v>0.5671078932298761</v>
      </c>
      <c r="H1472" t="n">
        <v>0.0433046670744293</v>
      </c>
      <c r="I1472" t="n">
        <v>0.0071502836891848</v>
      </c>
      <c r="J1472" t="n">
        <v>0.0121652049796584</v>
      </c>
      <c r="K1472" t="n">
        <v>0.6651335055610206</v>
      </c>
      <c r="L1472" t="b">
        <v>1</v>
      </c>
      <c r="M1472" t="b">
        <v>0</v>
      </c>
      <c r="N1472" t="inlineStr">
        <is>
          <t>ref</t>
        </is>
      </c>
      <c r="O1472" t="n">
        <v>-65</v>
      </c>
      <c r="P1472" t="n">
        <v>0.0108</v>
      </c>
      <c r="Q1472" t="n">
        <v>-75</v>
      </c>
      <c r="R1472" t="n">
        <v>0.1404</v>
      </c>
      <c r="S1472">
        <f>IMAGE("https://mitra.stanford.edu/kundaje/oak/projects/neuro-variants/variant_position/credible/roussos_2024/variant_figures/roussos_2024.childhood.Astrocyte/rs150710353_count_position.png",4,220,900)</f>
        <v/>
      </c>
      <c r="T1472">
        <f>IMAGE("https://mitra.stanford.edu/kundaje/oak/projects/neuro-variants/variant_position/credible/roussos_2024/variant_figures/roussos_2024.childhood.Astrocyte/rs150710353_profile_position.png",4,220,900)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0.09556397599999999</v>
      </c>
      <c r="G1473" t="n">
        <v>0.0722339002925597</v>
      </c>
      <c r="H1473" t="n">
        <v>0.0150989774477976</v>
      </c>
      <c r="I1473" t="n">
        <v>0.3076448308412824</v>
      </c>
      <c r="J1473" t="n">
        <v>0.2417866929236029</v>
      </c>
      <c r="K1473" t="n">
        <v>0.1695873344588254</v>
      </c>
      <c r="L1473" t="b">
        <v>0</v>
      </c>
      <c r="M1473" t="b">
        <v>0</v>
      </c>
      <c r="N1473" t="inlineStr">
        <is>
          <t>alt</t>
        </is>
      </c>
      <c r="O1473" t="n">
        <v>85</v>
      </c>
      <c r="P1473" t="n">
        <v>0.00699</v>
      </c>
      <c r="Q1473" t="n">
        <v>0</v>
      </c>
      <c r="R1473" t="n">
        <v>0</v>
      </c>
      <c r="S1473">
        <f>IMAGE("https://mitra.stanford.edu/kundaje/oak/projects/neuro-variants/variant_position/credible/roussos_2024/variant_figures/roussos_2024.childhood.Astrocyte/rs77801206_count_position.png",4,220,900)</f>
        <v/>
      </c>
      <c r="T1473">
        <f>IMAGE("https://mitra.stanford.edu/kundaje/oak/projects/neuro-variants/variant_position/credible/roussos_2024/variant_figures/roussos_2024.childhood.Astrocyte/rs77801206_profile_position.png",4,220,900)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-0.0552264714</v>
      </c>
      <c r="G1474" t="n">
        <v>0.1918682672798314</v>
      </c>
      <c r="H1474" t="n">
        <v>0.0141332481489788</v>
      </c>
      <c r="I1474" t="n">
        <v>0.3488543311243838</v>
      </c>
      <c r="J1474" t="n">
        <v>0.009416622777892099</v>
      </c>
      <c r="K1474" t="n">
        <v>0.7152121413436403</v>
      </c>
      <c r="L1474" t="b">
        <v>0</v>
      </c>
      <c r="M1474" t="b">
        <v>0</v>
      </c>
      <c r="N1474" t="inlineStr">
        <is>
          <t>ref</t>
        </is>
      </c>
      <c r="O1474" t="n">
        <v>-75</v>
      </c>
      <c r="P1474" t="n">
        <v>0.01196</v>
      </c>
      <c r="Q1474" t="n">
        <v>70</v>
      </c>
      <c r="R1474" t="n">
        <v>0.1768</v>
      </c>
      <c r="S1474">
        <f>IMAGE("https://mitra.stanford.edu/kundaje/oak/projects/neuro-variants/variant_position/credible/roussos_2024/variant_figures/roussos_2024.childhood.Astrocyte/rs148571332_count_position.png",4,220,900)</f>
        <v/>
      </c>
      <c r="T1474">
        <f>IMAGE("https://mitra.stanford.edu/kundaje/oak/projects/neuro-variants/variant_position/credible/roussos_2024/variant_figures/roussos_2024.childhood.Astrocyte/rs148571332_profile_position.png",4,220,900)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0.0616068532</v>
      </c>
      <c r="G1475" t="n">
        <v>0.1577114747550143</v>
      </c>
      <c r="H1475" t="n">
        <v>0.0164708866805285</v>
      </c>
      <c r="I1475" t="n">
        <v>0.2270888636251567</v>
      </c>
      <c r="J1475" t="n">
        <v>0.2362567073496523</v>
      </c>
      <c r="K1475" t="n">
        <v>0.1783784491694425</v>
      </c>
      <c r="L1475" t="b">
        <v>0</v>
      </c>
      <c r="M1475" t="b">
        <v>0</v>
      </c>
      <c r="N1475" t="inlineStr">
        <is>
          <t>alt</t>
        </is>
      </c>
      <c r="O1475" t="n">
        <v>-15</v>
      </c>
      <c r="P1475" t="n">
        <v>0.001223</v>
      </c>
      <c r="Q1475" t="n">
        <v>100</v>
      </c>
      <c r="R1475" t="n">
        <v>0.1024</v>
      </c>
      <c r="S1475">
        <f>IMAGE("https://mitra.stanford.edu/kundaje/oak/projects/neuro-variants/variant_position/credible/roussos_2024/variant_figures/roussos_2024.childhood.Astrocyte/rs8047207_count_position.png",4,220,900)</f>
        <v/>
      </c>
      <c r="T1475">
        <f>IMAGE("https://mitra.stanford.edu/kundaje/oak/projects/neuro-variants/variant_position/credible/roussos_2024/variant_figures/roussos_2024.childhood.Astrocyte/rs8047207_profile_position.png",4,220,900)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0.0529364497999999</v>
      </c>
      <c r="G1476" t="n">
        <v>0.2363066922123151</v>
      </c>
      <c r="H1476" t="n">
        <v>0.0104431663816382</v>
      </c>
      <c r="I1476" t="n">
        <v>0.6497295826049666</v>
      </c>
      <c r="J1476" t="n">
        <v>0.3685649515696915</v>
      </c>
      <c r="K1476" t="n">
        <v>0.0971382591560324</v>
      </c>
      <c r="L1476" t="b">
        <v>0</v>
      </c>
      <c r="M1476" t="b">
        <v>0</v>
      </c>
      <c r="N1476" t="inlineStr">
        <is>
          <t>alt</t>
        </is>
      </c>
      <c r="O1476" t="n">
        <v>-100</v>
      </c>
      <c r="P1476" t="n">
        <v>0.0419</v>
      </c>
      <c r="Q1476" t="n">
        <v>-100</v>
      </c>
      <c r="R1476" t="n">
        <v>0.3909</v>
      </c>
      <c r="S1476">
        <f>IMAGE("https://mitra.stanford.edu/kundaje/oak/projects/neuro-variants/variant_position/credible/roussos_2024/variant_figures/roussos_2024.childhood.Astrocyte/rs76171566_count_position.png",4,220,900)</f>
        <v/>
      </c>
      <c r="T1476">
        <f>IMAGE("https://mitra.stanford.edu/kundaje/oak/projects/neuro-variants/variant_position/credible/roussos_2024/variant_figures/roussos_2024.childhood.Astrocyte/rs76171566_profile_position.png",4,220,900)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0.01026099306</v>
      </c>
      <c r="G1477" t="n">
        <v>0.7069743549050218</v>
      </c>
      <c r="H1477" t="n">
        <v>0.0250439946992663</v>
      </c>
      <c r="I1477" t="n">
        <v>0.0582702441045279</v>
      </c>
      <c r="J1477" t="n">
        <v>0.0068260401639531</v>
      </c>
      <c r="K1477" t="n">
        <v>0.7392539825387963</v>
      </c>
      <c r="L1477" t="b">
        <v>0</v>
      </c>
      <c r="M1477" t="b">
        <v>0</v>
      </c>
      <c r="N1477" t="inlineStr">
        <is>
          <t>alt</t>
        </is>
      </c>
      <c r="O1477" t="n">
        <v>15</v>
      </c>
      <c r="P1477" t="n">
        <v>0.006226</v>
      </c>
      <c r="Q1477" t="n">
        <v>100</v>
      </c>
      <c r="R1477" t="n">
        <v>0.1772</v>
      </c>
      <c r="S1477">
        <f>IMAGE("https://mitra.stanford.edu/kundaje/oak/projects/neuro-variants/variant_position/credible/roussos_2024/variant_figures/roussos_2024.childhood.Astrocyte/rs78587942_count_position.png",4,220,900)</f>
        <v/>
      </c>
      <c r="T1477">
        <f>IMAGE("https://mitra.stanford.edu/kundaje/oak/projects/neuro-variants/variant_position/credible/roussos_2024/variant_figures/roussos_2024.childhood.Astrocyte/rs78587942_profile_position.png",4,220,900)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0.0193028748</v>
      </c>
      <c r="G1478" t="n">
        <v>0.06904340465778409</v>
      </c>
      <c r="H1478" t="n">
        <v>0.0174544132071792</v>
      </c>
      <c r="I1478" t="n">
        <v>0.1936387950321888</v>
      </c>
      <c r="J1478" t="n">
        <v>0.2569622861853403</v>
      </c>
      <c r="K1478" t="n">
        <v>0.1578451016691955</v>
      </c>
      <c r="L1478" t="b">
        <v>0</v>
      </c>
      <c r="M1478" t="b">
        <v>0</v>
      </c>
      <c r="N1478" t="inlineStr">
        <is>
          <t>alt</t>
        </is>
      </c>
      <c r="O1478" t="n">
        <v>-100</v>
      </c>
      <c r="P1478" t="n">
        <v>0.003143</v>
      </c>
      <c r="Q1478" t="n">
        <v>-100</v>
      </c>
      <c r="R1478" t="n">
        <v>0.0293</v>
      </c>
      <c r="S1478">
        <f>IMAGE("https://mitra.stanford.edu/kundaje/oak/projects/neuro-variants/variant_position/credible/roussos_2024/variant_figures/roussos_2024.childhood.Astrocyte/rs2290699_count_position.png",4,220,900)</f>
        <v/>
      </c>
      <c r="T1478">
        <f>IMAGE("https://mitra.stanford.edu/kundaje/oak/projects/neuro-variants/variant_position/credible/roussos_2024/variant_figures/roussos_2024.childhood.Astrocyte/rs2290699_profile_position.png",4,220,900)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0.042271558</v>
      </c>
      <c r="G1479" t="n">
        <v>0.2942517871282692</v>
      </c>
      <c r="H1479" t="n">
        <v>0.0103375830650534</v>
      </c>
      <c r="I1479" t="n">
        <v>0.6794729156417361</v>
      </c>
      <c r="J1479" t="n">
        <v>0.4513887934785098</v>
      </c>
      <c r="K1479" t="n">
        <v>0.0695809302218874</v>
      </c>
      <c r="L1479" t="b">
        <v>0</v>
      </c>
      <c r="M1479" t="b">
        <v>0</v>
      </c>
      <c r="N1479" t="inlineStr">
        <is>
          <t>alt</t>
        </is>
      </c>
      <c r="O1479" t="n">
        <v>40</v>
      </c>
      <c r="P1479" t="n">
        <v>0.00503</v>
      </c>
      <c r="Q1479" t="n">
        <v>40</v>
      </c>
      <c r="R1479" t="n">
        <v>0.186</v>
      </c>
      <c r="S1479">
        <f>IMAGE("https://mitra.stanford.edu/kundaje/oak/projects/neuro-variants/variant_position/credible/roussos_2024/variant_figures/roussos_2024.childhood.Astrocyte/rs116580887_count_position.png",4,220,900)</f>
        <v/>
      </c>
      <c r="T1479">
        <f>IMAGE("https://mitra.stanford.edu/kundaje/oak/projects/neuro-variants/variant_position/credible/roussos_2024/variant_figures/roussos_2024.childhood.Astrocyte/rs116580887_profile_position.png",4,220,900)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0.0514632505999999</v>
      </c>
      <c r="G1480" t="n">
        <v>0.212577767850835</v>
      </c>
      <c r="H1480" t="n">
        <v>0.0114562148729549</v>
      </c>
      <c r="I1480" t="n">
        <v>0.5695986299126905</v>
      </c>
      <c r="J1480" t="n">
        <v>0.0173936937555814</v>
      </c>
      <c r="K1480" t="n">
        <v>0.6095633308386756</v>
      </c>
      <c r="L1480" t="b">
        <v>0</v>
      </c>
      <c r="M1480" t="b">
        <v>0</v>
      </c>
      <c r="N1480" t="inlineStr">
        <is>
          <t>alt</t>
        </is>
      </c>
      <c r="O1480" t="n">
        <v>5</v>
      </c>
      <c r="P1480" t="n">
        <v>0.0002327</v>
      </c>
      <c r="Q1480" t="n">
        <v>-90</v>
      </c>
      <c r="R1480" t="n">
        <v>0.11896</v>
      </c>
      <c r="S1480">
        <f>IMAGE("https://mitra.stanford.edu/kundaje/oak/projects/neuro-variants/variant_position/credible/roussos_2024/variant_figures/roussos_2024.childhood.Astrocyte/rs78805615_count_position.png",4,220,900)</f>
        <v/>
      </c>
      <c r="T1480">
        <f>IMAGE("https://mitra.stanford.edu/kundaje/oak/projects/neuro-variants/variant_position/credible/roussos_2024/variant_figures/roussos_2024.childhood.Astrocyte/rs78805615_profile_position.png",4,220,900)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-0.0405933146</v>
      </c>
      <c r="G1481" t="n">
        <v>0.2817204360506539</v>
      </c>
      <c r="H1481" t="n">
        <v>0.009621541059089699</v>
      </c>
      <c r="I1481" t="n">
        <v>0.7460881784146552</v>
      </c>
      <c r="J1481" t="n">
        <v>0.4466129315411448</v>
      </c>
      <c r="K1481" t="n">
        <v>0.0690392723234337</v>
      </c>
      <c r="L1481" t="b">
        <v>0</v>
      </c>
      <c r="M1481" t="b">
        <v>0</v>
      </c>
      <c r="N1481" t="inlineStr">
        <is>
          <t>ref</t>
        </is>
      </c>
      <c r="O1481" t="n">
        <v>70</v>
      </c>
      <c r="P1481" t="n">
        <v>0.01425</v>
      </c>
      <c r="Q1481" t="n">
        <v>100</v>
      </c>
      <c r="R1481" t="n">
        <v>0.237</v>
      </c>
      <c r="S1481">
        <f>IMAGE("https://mitra.stanford.edu/kundaje/oak/projects/neuro-variants/variant_position/credible/roussos_2024/variant_figures/roussos_2024.childhood.Astrocyte/rs12925938_count_position.png",4,220,900)</f>
        <v/>
      </c>
      <c r="T1481">
        <f>IMAGE("https://mitra.stanford.edu/kundaje/oak/projects/neuro-variants/variant_position/credible/roussos_2024/variant_figures/roussos_2024.childhood.Astrocyte/rs12925938_profile_position.png",4,220,900)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-0.149324672</v>
      </c>
      <c r="G1482" t="n">
        <v>0.0341724656864395</v>
      </c>
      <c r="H1482" t="n">
        <v>0.0344028453793638</v>
      </c>
      <c r="I1482" t="n">
        <v>0.0187902115847529</v>
      </c>
      <c r="J1482" t="n">
        <v>0.603457672139406</v>
      </c>
      <c r="K1482" t="n">
        <v>0.0329730503820646</v>
      </c>
      <c r="L1482" t="b">
        <v>1</v>
      </c>
      <c r="M1482" t="b">
        <v>0</v>
      </c>
      <c r="N1482" t="inlineStr">
        <is>
          <t>ref</t>
        </is>
      </c>
      <c r="O1482" t="n">
        <v>-70</v>
      </c>
      <c r="P1482" t="n">
        <v>0.003887</v>
      </c>
      <c r="Q1482" t="n">
        <v>10</v>
      </c>
      <c r="R1482" t="n">
        <v>0.0232</v>
      </c>
      <c r="S1482">
        <f>IMAGE("https://mitra.stanford.edu/kundaje/oak/projects/neuro-variants/variant_position/credible/roussos_2024/variant_figures/roussos_2024.childhood.Astrocyte/rs71395853_count_position.png",4,220,900)</f>
        <v/>
      </c>
      <c r="T1482">
        <f>IMAGE("https://mitra.stanford.edu/kundaje/oak/projects/neuro-variants/variant_position/credible/roussos_2024/variant_figures/roussos_2024.childhood.Astrocyte/rs71395853_profile_position.png",4,220,900)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0.0668802997999999</v>
      </c>
      <c r="G1483" t="n">
        <v>0.1553545198308851</v>
      </c>
      <c r="H1483" t="n">
        <v>0.0156214826206466</v>
      </c>
      <c r="I1483" t="n">
        <v>0.2645994972201722</v>
      </c>
      <c r="J1483" t="n">
        <v>0.4416729637516887</v>
      </c>
      <c r="K1483" t="n">
        <v>0.07280742960385619</v>
      </c>
      <c r="L1483" t="b">
        <v>0</v>
      </c>
      <c r="M1483" t="b">
        <v>0</v>
      </c>
      <c r="N1483" t="inlineStr">
        <is>
          <t>alt</t>
        </is>
      </c>
      <c r="O1483" t="n">
        <v>-95</v>
      </c>
      <c r="P1483" t="n">
        <v>0.006424</v>
      </c>
      <c r="Q1483" t="n">
        <v>-95</v>
      </c>
      <c r="R1483" t="n">
        <v>0.1395</v>
      </c>
      <c r="S1483">
        <f>IMAGE("https://mitra.stanford.edu/kundaje/oak/projects/neuro-variants/variant_position/credible/roussos_2024/variant_figures/roussos_2024.childhood.Astrocyte/rs11862968_count_position.png",4,220,900)</f>
        <v/>
      </c>
      <c r="T1483">
        <f>IMAGE("https://mitra.stanford.edu/kundaje/oak/projects/neuro-variants/variant_position/credible/roussos_2024/variant_figures/roussos_2024.childhood.Astrocyte/rs11862968_profile_position.png",4,220,900)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-0.0459784284</v>
      </c>
      <c r="G1484" t="n">
        <v>0.2418398285651111</v>
      </c>
      <c r="H1484" t="n">
        <v>0.0127557616441865</v>
      </c>
      <c r="I1484" t="n">
        <v>0.4539653727414075</v>
      </c>
      <c r="J1484" t="n">
        <v>7.861815239708906e-05</v>
      </c>
      <c r="K1484" t="n">
        <v>0.9909488161124154</v>
      </c>
      <c r="L1484" t="b">
        <v>0</v>
      </c>
      <c r="M1484" t="b">
        <v>0</v>
      </c>
      <c r="N1484" t="inlineStr">
        <is>
          <t>ref</t>
        </is>
      </c>
      <c r="O1484" t="n">
        <v>-25</v>
      </c>
      <c r="P1484" t="n">
        <v>0.004723</v>
      </c>
      <c r="Q1484" t="n">
        <v>85</v>
      </c>
      <c r="R1484" t="n">
        <v>0.02148</v>
      </c>
      <c r="S1484">
        <f>IMAGE("https://mitra.stanford.edu/kundaje/oak/projects/neuro-variants/variant_position/credible/roussos_2024/variant_figures/roussos_2024.childhood.Astrocyte/rs34669336_count_position.png",4,220,900)</f>
        <v/>
      </c>
      <c r="T1484">
        <f>IMAGE("https://mitra.stanford.edu/kundaje/oak/projects/neuro-variants/variant_position/credible/roussos_2024/variant_figures/roussos_2024.childhood.Astrocyte/rs34669336_profile_position.png",4,220,900)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0.0267523254</v>
      </c>
      <c r="G1485" t="n">
        <v>0.4322938218338055</v>
      </c>
      <c r="H1485" t="n">
        <v>0.0535500039451577</v>
      </c>
      <c r="I1485" t="n">
        <v>0.0030739521298561</v>
      </c>
      <c r="J1485" t="n">
        <v>0.0222405410150137</v>
      </c>
      <c r="K1485" t="n">
        <v>0.5912458254933418</v>
      </c>
      <c r="L1485" t="b">
        <v>1</v>
      </c>
      <c r="M1485" t="b">
        <v>0</v>
      </c>
      <c r="N1485" t="inlineStr">
        <is>
          <t>alt</t>
        </is>
      </c>
      <c r="O1485" t="n">
        <v>60</v>
      </c>
      <c r="P1485" t="n">
        <v>0.003906</v>
      </c>
      <c r="Q1485" t="n">
        <v>-70</v>
      </c>
      <c r="R1485" t="n">
        <v>0.094</v>
      </c>
      <c r="S1485">
        <f>IMAGE("https://mitra.stanford.edu/kundaje/oak/projects/neuro-variants/variant_position/credible/roussos_2024/variant_figures/roussos_2024.childhood.Astrocyte/rs11641316_count_position.png",4,220,900)</f>
        <v/>
      </c>
      <c r="T1485">
        <f>IMAGE("https://mitra.stanford.edu/kundaje/oak/projects/neuro-variants/variant_position/credible/roussos_2024/variant_figures/roussos_2024.childhood.Astrocyte/rs11641316_profile_position.png",4,220,900)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-0.00228115698</v>
      </c>
      <c r="G1486" t="n">
        <v>0.7651318172824761</v>
      </c>
      <c r="H1486" t="n">
        <v>0.007916883792334699</v>
      </c>
      <c r="I1486" t="n">
        <v>0.9042580126789128</v>
      </c>
      <c r="J1486" t="n">
        <v>0.0201873096562935</v>
      </c>
      <c r="K1486" t="n">
        <v>0.6003774283833401</v>
      </c>
      <c r="L1486" t="b">
        <v>0</v>
      </c>
      <c r="M1486" t="b">
        <v>0</v>
      </c>
      <c r="N1486" t="inlineStr">
        <is>
          <t>ref</t>
        </is>
      </c>
      <c r="O1486" t="n">
        <v>-100</v>
      </c>
      <c r="P1486" t="n">
        <v>0.0867</v>
      </c>
      <c r="Q1486" t="n">
        <v>85</v>
      </c>
      <c r="R1486" t="n">
        <v>0.1095</v>
      </c>
      <c r="S1486">
        <f>IMAGE("https://mitra.stanford.edu/kundaje/oak/projects/neuro-variants/variant_position/credible/roussos_2024/variant_figures/roussos_2024.childhood.Astrocyte/rs13339524_count_position.png",4,220,900)</f>
        <v/>
      </c>
      <c r="T1486">
        <f>IMAGE("https://mitra.stanford.edu/kundaje/oak/projects/neuro-variants/variant_position/credible/roussos_2024/variant_figures/roussos_2024.childhood.Astrocyte/rs13339524_profile_position.png",4,220,900)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0.0673215636</v>
      </c>
      <c r="G1487" t="n">
        <v>0.1577567582245245</v>
      </c>
      <c r="H1487" t="n">
        <v>0.0104378293513248</v>
      </c>
      <c r="I1487" t="n">
        <v>0.6204150693219749</v>
      </c>
      <c r="J1487" t="n">
        <v>0.268298565791181</v>
      </c>
      <c r="K1487" t="n">
        <v>0.1506715438365452</v>
      </c>
      <c r="L1487" t="b">
        <v>0</v>
      </c>
      <c r="M1487" t="b">
        <v>0</v>
      </c>
      <c r="N1487" t="inlineStr">
        <is>
          <t>alt</t>
        </is>
      </c>
      <c r="O1487" t="n">
        <v>90</v>
      </c>
      <c r="P1487" t="n">
        <v>0.01024</v>
      </c>
      <c r="Q1487" t="n">
        <v>-70</v>
      </c>
      <c r="R1487" t="n">
        <v>0.1185</v>
      </c>
      <c r="S1487">
        <f>IMAGE("https://mitra.stanford.edu/kundaje/oak/projects/neuro-variants/variant_position/credible/roussos_2024/variant_figures/roussos_2024.childhood.Astrocyte/rs2242413_count_position.png",4,220,900)</f>
        <v/>
      </c>
      <c r="T1487">
        <f>IMAGE("https://mitra.stanford.edu/kundaje/oak/projects/neuro-variants/variant_position/credible/roussos_2024/variant_figures/roussos_2024.childhood.Astrocyte/rs2242413_profile_position.png",4,220,900)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-0.02542702032</v>
      </c>
      <c r="G1488" t="n">
        <v>0.432992635603175</v>
      </c>
      <c r="H1488" t="n">
        <v>0.0219867769164206</v>
      </c>
      <c r="I1488" t="n">
        <v>0.0923541868820506</v>
      </c>
      <c r="J1488" t="n">
        <v>0.0392426705746757</v>
      </c>
      <c r="K1488" t="n">
        <v>0.4915757525544588</v>
      </c>
      <c r="L1488" t="b">
        <v>0</v>
      </c>
      <c r="M1488" t="b">
        <v>0</v>
      </c>
      <c r="N1488" t="inlineStr">
        <is>
          <t>ref</t>
        </is>
      </c>
      <c r="O1488" t="n">
        <v>100</v>
      </c>
      <c r="P1488" t="n">
        <v>0.01912</v>
      </c>
      <c r="Q1488" t="n">
        <v>100</v>
      </c>
      <c r="R1488" t="n">
        <v>0.122</v>
      </c>
      <c r="S1488">
        <f>IMAGE("https://mitra.stanford.edu/kundaje/oak/projects/neuro-variants/variant_position/credible/roussos_2024/variant_figures/roussos_2024.childhood.Astrocyte/rs9939870_count_position.png",4,220,900)</f>
        <v/>
      </c>
      <c r="T1488">
        <f>IMAGE("https://mitra.stanford.edu/kundaje/oak/projects/neuro-variants/variant_position/credible/roussos_2024/variant_figures/roussos_2024.childhood.Astrocyte/rs9939870_profile_position.png",4,220,900)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0.05185404264</v>
      </c>
      <c r="G1489" t="n">
        <v>0.2075143007940183</v>
      </c>
      <c r="H1489" t="n">
        <v>0.0309470451399787</v>
      </c>
      <c r="I1489" t="n">
        <v>0.0417813279891953</v>
      </c>
      <c r="J1489" t="n">
        <v>0.1570966239991451</v>
      </c>
      <c r="K1489" t="n">
        <v>0.2462474348105858</v>
      </c>
      <c r="L1489" t="b">
        <v>0</v>
      </c>
      <c r="M1489" t="b">
        <v>0</v>
      </c>
      <c r="N1489" t="inlineStr">
        <is>
          <t>alt</t>
        </is>
      </c>
      <c r="O1489" t="n">
        <v>100</v>
      </c>
      <c r="P1489" t="n">
        <v>0.01572</v>
      </c>
      <c r="Q1489" t="n">
        <v>-20</v>
      </c>
      <c r="R1489" t="n">
        <v>0.03613</v>
      </c>
      <c r="S1489">
        <f>IMAGE("https://mitra.stanford.edu/kundaje/oak/projects/neuro-variants/variant_position/credible/roussos_2024/variant_figures/roussos_2024.childhood.Astrocyte/rs35124791_count_position.png",4,220,900)</f>
        <v/>
      </c>
      <c r="T1489">
        <f>IMAGE("https://mitra.stanford.edu/kundaje/oak/projects/neuro-variants/variant_position/credible/roussos_2024/variant_figures/roussos_2024.childhood.Astrocyte/rs35124791_profile_position.png",4,220,900)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0.0566474044</v>
      </c>
      <c r="G1490" t="n">
        <v>0.1792954159748075</v>
      </c>
      <c r="H1490" t="n">
        <v>0.0104643452200881</v>
      </c>
      <c r="I1490" t="n">
        <v>0.6654292806133666</v>
      </c>
      <c r="J1490" t="n">
        <v>0.0399235190400952</v>
      </c>
      <c r="K1490" t="n">
        <v>0.484011673804177</v>
      </c>
      <c r="L1490" t="b">
        <v>0</v>
      </c>
      <c r="M1490" t="b">
        <v>0</v>
      </c>
      <c r="N1490" t="inlineStr">
        <is>
          <t>alt</t>
        </is>
      </c>
      <c r="O1490" t="n">
        <v>-100</v>
      </c>
      <c r="P1490" t="n">
        <v>0.006676</v>
      </c>
      <c r="Q1490" t="n">
        <v>55</v>
      </c>
      <c r="R1490" t="n">
        <v>0.149</v>
      </c>
      <c r="S1490">
        <f>IMAGE("https://mitra.stanford.edu/kundaje/oak/projects/neuro-variants/variant_position/credible/roussos_2024/variant_figures/roussos_2024.childhood.Astrocyte/rs3785074_count_position.png",4,220,900)</f>
        <v/>
      </c>
      <c r="T1490">
        <f>IMAGE("https://mitra.stanford.edu/kundaje/oak/projects/neuro-variants/variant_position/credible/roussos_2024/variant_figures/roussos_2024.childhood.Astrocyte/rs3785074_profile_position.png",4,220,900)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-0.019496223008</v>
      </c>
      <c r="G1491" t="n">
        <v>0.4014935311001283</v>
      </c>
      <c r="H1491" t="n">
        <v>0.0107626692320014</v>
      </c>
      <c r="I1491" t="n">
        <v>0.6427663543287516</v>
      </c>
      <c r="J1491" t="n">
        <v>0.0013739094593665</v>
      </c>
      <c r="K1491" t="n">
        <v>0.9022863253603398</v>
      </c>
      <c r="L1491" t="b">
        <v>0</v>
      </c>
      <c r="M1491" t="b">
        <v>0</v>
      </c>
      <c r="N1491" t="inlineStr">
        <is>
          <t>ref</t>
        </is>
      </c>
      <c r="O1491" t="n">
        <v>45</v>
      </c>
      <c r="P1491" t="n">
        <v>0.001701</v>
      </c>
      <c r="Q1491" t="n">
        <v>75</v>
      </c>
      <c r="R1491" t="n">
        <v>0.1396</v>
      </c>
      <c r="S1491">
        <f>IMAGE("https://mitra.stanford.edu/kundaje/oak/projects/neuro-variants/variant_position/credible/roussos_2024/variant_figures/roussos_2024.childhood.Astrocyte/rs11150463_count_position.png",4,220,900)</f>
        <v/>
      </c>
      <c r="T1491">
        <f>IMAGE("https://mitra.stanford.edu/kundaje/oak/projects/neuro-variants/variant_position/credible/roussos_2024/variant_figures/roussos_2024.childhood.Astrocyte/rs11150463_profile_position.png",4,220,900)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-0.0274259138</v>
      </c>
      <c r="G1492" t="n">
        <v>0.3928481933814408</v>
      </c>
      <c r="H1492" t="n">
        <v>0.0136050767331176</v>
      </c>
      <c r="I1492" t="n">
        <v>0.3944554525016633</v>
      </c>
      <c r="J1492" t="n">
        <v>0.0046941906528359</v>
      </c>
      <c r="K1492" t="n">
        <v>0.7844293624258685</v>
      </c>
      <c r="L1492" t="b">
        <v>0</v>
      </c>
      <c r="M1492" t="b">
        <v>0</v>
      </c>
      <c r="N1492" t="inlineStr">
        <is>
          <t>ref</t>
        </is>
      </c>
      <c r="O1492" t="n">
        <v>95</v>
      </c>
      <c r="P1492" t="n">
        <v>0.00847</v>
      </c>
      <c r="Q1492" t="n">
        <v>80</v>
      </c>
      <c r="R1492" t="n">
        <v>0.06610000000000001</v>
      </c>
      <c r="S1492">
        <f>IMAGE("https://mitra.stanford.edu/kundaje/oak/projects/neuro-variants/variant_position/credible/roussos_2024/variant_figures/roussos_2024.childhood.Astrocyte/rs9940266_count_position.png",4,220,900)</f>
        <v/>
      </c>
      <c r="T1492">
        <f>IMAGE("https://mitra.stanford.edu/kundaje/oak/projects/neuro-variants/variant_position/credible/roussos_2024/variant_figures/roussos_2024.childhood.Astrocyte/rs9940266_profile_position.png",4,220,900)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-0.0351274305999999</v>
      </c>
      <c r="G1493" t="n">
        <v>0.3331887427192384</v>
      </c>
      <c r="H1493" t="n">
        <v>0.0159752625372743</v>
      </c>
      <c r="I1493" t="n">
        <v>0.2497949158058924</v>
      </c>
      <c r="J1493" t="n">
        <v>0.1136253654217519</v>
      </c>
      <c r="K1493" t="n">
        <v>0.3055985722084192</v>
      </c>
      <c r="L1493" t="b">
        <v>0</v>
      </c>
      <c r="M1493" t="b">
        <v>0</v>
      </c>
      <c r="N1493" t="inlineStr">
        <is>
          <t>ref</t>
        </is>
      </c>
      <c r="O1493" t="n">
        <v>100</v>
      </c>
      <c r="P1493" t="n">
        <v>0.02127</v>
      </c>
      <c r="Q1493" t="n">
        <v>100</v>
      </c>
      <c r="R1493" t="n">
        <v>0.3394</v>
      </c>
      <c r="S1493">
        <f>IMAGE("https://mitra.stanford.edu/kundaje/oak/projects/neuro-variants/variant_position/credible/roussos_2024/variant_figures/roussos_2024.childhood.Astrocyte/rs4782721_count_position.png",4,220,900)</f>
        <v/>
      </c>
      <c r="T1493">
        <f>IMAGE("https://mitra.stanford.edu/kundaje/oak/projects/neuro-variants/variant_position/credible/roussos_2024/variant_figures/roussos_2024.childhood.Astrocyte/rs4782721_profile_position.png",4,220,900)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-0.1032969208</v>
      </c>
      <c r="G1494" t="n">
        <v>0.0734945495001488</v>
      </c>
      <c r="H1494" t="n">
        <v>0.0221842885735789</v>
      </c>
      <c r="I1494" t="n">
        <v>0.09473141576789181</v>
      </c>
      <c r="J1494" t="n">
        <v>0.4445261157289734</v>
      </c>
      <c r="K1494" t="n">
        <v>0.07079630063671929</v>
      </c>
      <c r="L1494" t="b">
        <v>0</v>
      </c>
      <c r="M1494" t="b">
        <v>0</v>
      </c>
      <c r="N1494" t="inlineStr">
        <is>
          <t>ref</t>
        </is>
      </c>
      <c r="O1494" t="n">
        <v>-75</v>
      </c>
      <c r="P1494" t="n">
        <v>0.00557</v>
      </c>
      <c r="Q1494" t="n">
        <v>100</v>
      </c>
      <c r="R1494" t="n">
        <v>0.2297</v>
      </c>
      <c r="S1494">
        <f>IMAGE("https://mitra.stanford.edu/kundaje/oak/projects/neuro-variants/variant_position/credible/roussos_2024/variant_figures/roussos_2024.childhood.Astrocyte/rs7202931_count_position.png",4,220,900)</f>
        <v/>
      </c>
      <c r="T1494">
        <f>IMAGE("https://mitra.stanford.edu/kundaje/oak/projects/neuro-variants/variant_position/credible/roussos_2024/variant_figures/roussos_2024.childhood.Astrocyte/rs7202931_profile_position.png",4,220,900)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0.075557629</v>
      </c>
      <c r="G1495" t="n">
        <v>0.1140615538617093</v>
      </c>
      <c r="H1495" t="n">
        <v>0.0120438037719131</v>
      </c>
      <c r="I1495" t="n">
        <v>0.5074038495684861</v>
      </c>
      <c r="J1495" t="n">
        <v>0.1601176982436856</v>
      </c>
      <c r="K1495" t="n">
        <v>0.2437301489296582</v>
      </c>
      <c r="L1495" t="b">
        <v>0</v>
      </c>
      <c r="M1495" t="b">
        <v>0</v>
      </c>
      <c r="N1495" t="inlineStr">
        <is>
          <t>alt</t>
        </is>
      </c>
      <c r="O1495" t="n">
        <v>30</v>
      </c>
      <c r="P1495" t="n">
        <v>0.002502</v>
      </c>
      <c r="Q1495" t="n">
        <v>-20</v>
      </c>
      <c r="R1495" t="n">
        <v>0.01056</v>
      </c>
      <c r="S1495">
        <f>IMAGE("https://mitra.stanford.edu/kundaje/oak/projects/neuro-variants/variant_position/credible/roussos_2024/variant_figures/roussos_2024.childhood.Astrocyte/rs12930379_count_position.png",4,220,900)</f>
        <v/>
      </c>
      <c r="T1495">
        <f>IMAGE("https://mitra.stanford.edu/kundaje/oak/projects/neuro-variants/variant_position/credible/roussos_2024/variant_figures/roussos_2024.childhood.Astrocyte/rs12930379_profile_position.png",4,220,900)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0.0561361216</v>
      </c>
      <c r="G1496" t="n">
        <v>0.1841367612073824</v>
      </c>
      <c r="H1496" t="n">
        <v>0.0118350602515322</v>
      </c>
      <c r="I1496" t="n">
        <v>0.5327343190716963</v>
      </c>
      <c r="J1496" t="n">
        <v>0.009415859494859199</v>
      </c>
      <c r="K1496" t="n">
        <v>0.7002361248697391</v>
      </c>
      <c r="L1496" t="b">
        <v>0</v>
      </c>
      <c r="M1496" t="b">
        <v>0</v>
      </c>
      <c r="N1496" t="inlineStr">
        <is>
          <t>alt</t>
        </is>
      </c>
      <c r="O1496" t="n">
        <v>100</v>
      </c>
      <c r="P1496" t="n">
        <v>0.0067</v>
      </c>
      <c r="Q1496" t="n">
        <v>55</v>
      </c>
      <c r="R1496" t="n">
        <v>0.02466</v>
      </c>
      <c r="S1496">
        <f>IMAGE("https://mitra.stanford.edu/kundaje/oak/projects/neuro-variants/variant_position/credible/roussos_2024/variant_figures/roussos_2024.childhood.Astrocyte/rs3114896_count_position.png",4,220,900)</f>
        <v/>
      </c>
      <c r="T1496">
        <f>IMAGE("https://mitra.stanford.edu/kundaje/oak/projects/neuro-variants/variant_position/credible/roussos_2024/variant_figures/roussos_2024.childhood.Astrocyte/rs3114896_profile_position.png",4,220,900)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-0.01159380306</v>
      </c>
      <c r="G1497" t="n">
        <v>0.4629383912688228</v>
      </c>
      <c r="H1497" t="n">
        <v>0.0151150662327918</v>
      </c>
      <c r="I1497" t="n">
        <v>0.2896916112249814</v>
      </c>
      <c r="J1497" t="n">
        <v>0.1047903643149916</v>
      </c>
      <c r="K1497" t="n">
        <v>0.3188581567363456</v>
      </c>
      <c r="L1497" t="b">
        <v>0</v>
      </c>
      <c r="M1497" t="b">
        <v>0</v>
      </c>
      <c r="N1497" t="inlineStr">
        <is>
          <t>ref</t>
        </is>
      </c>
      <c r="O1497" t="n">
        <v>-85</v>
      </c>
      <c r="P1497" t="n">
        <v>0.005817</v>
      </c>
      <c r="Q1497" t="n">
        <v>-90</v>
      </c>
      <c r="R1497" t="n">
        <v>0.1051</v>
      </c>
      <c r="S1497">
        <f>IMAGE("https://mitra.stanford.edu/kundaje/oak/projects/neuro-variants/variant_position/credible/roussos_2024/variant_figures/roussos_2024.childhood.Astrocyte/rs3114881_count_position.png",4,220,900)</f>
        <v/>
      </c>
      <c r="T1497">
        <f>IMAGE("https://mitra.stanford.edu/kundaje/oak/projects/neuro-variants/variant_position/credible/roussos_2024/variant_figures/roussos_2024.childhood.Astrocyte/rs3114881_profile_position.png",4,220,900)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-0.0073581484</v>
      </c>
      <c r="G1498" t="n">
        <v>0.5826106235984235</v>
      </c>
      <c r="H1498" t="n">
        <v>0.0365419434622248</v>
      </c>
      <c r="I1498" t="n">
        <v>0.0188053122699787</v>
      </c>
      <c r="J1498" t="n">
        <v>0.2182928411684336</v>
      </c>
      <c r="K1498" t="n">
        <v>0.1916483443751814</v>
      </c>
      <c r="L1498" t="b">
        <v>1</v>
      </c>
      <c r="M1498" t="b">
        <v>0</v>
      </c>
      <c r="N1498" t="inlineStr">
        <is>
          <t>ref</t>
        </is>
      </c>
      <c r="O1498" t="n">
        <v>-95</v>
      </c>
      <c r="P1498" t="n">
        <v>0.1128</v>
      </c>
      <c r="Q1498" t="n">
        <v>-15</v>
      </c>
      <c r="R1498" t="n">
        <v>0.03534</v>
      </c>
      <c r="S1498">
        <f>IMAGE("https://mitra.stanford.edu/kundaje/oak/projects/neuro-variants/variant_position/credible/roussos_2024/variant_figures/roussos_2024.childhood.Astrocyte/rs369449674_count_position.png",4,220,900)</f>
        <v/>
      </c>
      <c r="T1498">
        <f>IMAGE("https://mitra.stanford.edu/kundaje/oak/projects/neuro-variants/variant_position/credible/roussos_2024/variant_figures/roussos_2024.childhood.Astrocyte/rs369449674_profile_position.png",4,220,900)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0.0996754527999999</v>
      </c>
      <c r="G1499" t="n">
        <v>0.0694511339852861</v>
      </c>
      <c r="H1499" t="n">
        <v>0.0175813525017714</v>
      </c>
      <c r="I1499" t="n">
        <v>0.192928224214771</v>
      </c>
      <c r="J1499" t="n">
        <v>0.3260813812369764</v>
      </c>
      <c r="K1499" t="n">
        <v>0.1185105132705006</v>
      </c>
      <c r="L1499" t="b">
        <v>0</v>
      </c>
      <c r="M1499" t="b">
        <v>0</v>
      </c>
      <c r="N1499" t="inlineStr">
        <is>
          <t>alt</t>
        </is>
      </c>
      <c r="O1499" t="n">
        <v>100</v>
      </c>
      <c r="P1499" t="n">
        <v>0.01807</v>
      </c>
      <c r="Q1499" t="n">
        <v>-45</v>
      </c>
      <c r="R1499" t="n">
        <v>0.1083</v>
      </c>
      <c r="S1499">
        <f>IMAGE("https://mitra.stanford.edu/kundaje/oak/projects/neuro-variants/variant_position/credible/roussos_2024/variant_figures/roussos_2024.childhood.Astrocyte/rs4785573_count_position.png",4,220,900)</f>
        <v/>
      </c>
      <c r="T1499">
        <f>IMAGE("https://mitra.stanford.edu/kundaje/oak/projects/neuro-variants/variant_position/credible/roussos_2024/variant_figures/roussos_2024.childhood.Astrocyte/rs4785573_profile_position.png",4,220,900)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-0.14568967</v>
      </c>
      <c r="G1500" t="n">
        <v>0.0344045658664363</v>
      </c>
      <c r="H1500" t="n">
        <v>0.0217793153932784</v>
      </c>
      <c r="I1500" t="n">
        <v>0.0979267521129385</v>
      </c>
      <c r="J1500" t="n">
        <v>0.6527291184844253</v>
      </c>
      <c r="K1500" t="n">
        <v>0.0248838376154005</v>
      </c>
      <c r="L1500" t="b">
        <v>0</v>
      </c>
      <c r="M1500" t="b">
        <v>0</v>
      </c>
      <c r="N1500" t="inlineStr">
        <is>
          <t>ref</t>
        </is>
      </c>
      <c r="O1500" t="n">
        <v>100</v>
      </c>
      <c r="P1500" t="n">
        <v>0.009254</v>
      </c>
      <c r="Q1500" t="n">
        <v>100</v>
      </c>
      <c r="R1500" t="n">
        <v>0.4546</v>
      </c>
      <c r="S1500">
        <f>IMAGE("https://mitra.stanford.edu/kundaje/oak/projects/neuro-variants/variant_position/credible/roussos_2024/variant_figures/roussos_2024.childhood.Astrocyte/rs34607811_count_position.png",4,220,900)</f>
        <v/>
      </c>
      <c r="T1500">
        <f>IMAGE("https://mitra.stanford.edu/kundaje/oak/projects/neuro-variants/variant_position/credible/roussos_2024/variant_figures/roussos_2024.childhood.Astrocyte/rs34607811_profile_position.png",4,220,900)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-0.0588659068</v>
      </c>
      <c r="G1501" t="n">
        <v>0.1834092551260813</v>
      </c>
      <c r="H1501" t="n">
        <v>0.0141727886769081</v>
      </c>
      <c r="I1501" t="n">
        <v>0.347362209257412</v>
      </c>
      <c r="J1501" t="n">
        <v>0.1551479624159434</v>
      </c>
      <c r="K1501" t="n">
        <v>0.2494638987152347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0.05838</v>
      </c>
      <c r="Q1501" t="n">
        <v>30</v>
      </c>
      <c r="R1501" t="n">
        <v>0.06177</v>
      </c>
      <c r="S1501">
        <f>IMAGE("https://mitra.stanford.edu/kundaje/oak/projects/neuro-variants/variant_position/credible/roussos_2024/variant_figures/roussos_2024.childhood.Astrocyte/rs72805595_count_position.png",4,220,900)</f>
        <v/>
      </c>
      <c r="T1501">
        <f>IMAGE("https://mitra.stanford.edu/kundaje/oak/projects/neuro-variants/variant_position/credible/roussos_2024/variant_figures/roussos_2024.childhood.Astrocyte/rs72805595_profile_position.png",4,220,900)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0.0108667545999999</v>
      </c>
      <c r="G1502" t="n">
        <v>0.4660581795409863</v>
      </c>
      <c r="H1502" t="n">
        <v>0.0104347253457785</v>
      </c>
      <c r="I1502" t="n">
        <v>0.6661069000883513</v>
      </c>
      <c r="J1502" t="n">
        <v>0.0584323693068626</v>
      </c>
      <c r="K1502" t="n">
        <v>0.4225137770860417</v>
      </c>
      <c r="L1502" t="b">
        <v>0</v>
      </c>
      <c r="M1502" t="b">
        <v>0</v>
      </c>
      <c r="N1502" t="inlineStr">
        <is>
          <t>alt</t>
        </is>
      </c>
      <c r="O1502" t="n">
        <v>-70</v>
      </c>
      <c r="P1502" t="n">
        <v>0.02574</v>
      </c>
      <c r="Q1502" t="n">
        <v>-50</v>
      </c>
      <c r="R1502" t="n">
        <v>0.0818</v>
      </c>
      <c r="S1502">
        <f>IMAGE("https://mitra.stanford.edu/kundaje/oak/projects/neuro-variants/variant_position/credible/roussos_2024/variant_figures/roussos_2024.childhood.Astrocyte/rs467357_count_position.png",4,220,900)</f>
        <v/>
      </c>
      <c r="T1502">
        <f>IMAGE("https://mitra.stanford.edu/kundaje/oak/projects/neuro-variants/variant_position/credible/roussos_2024/variant_figures/roussos_2024.childhood.Astrocyte/rs467357_profile_position.png",4,220,900)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-0.06935626559999999</v>
      </c>
      <c r="G1503" t="n">
        <v>0.1364086399953311</v>
      </c>
      <c r="H1503" t="n">
        <v>0.0157694641771285</v>
      </c>
      <c r="I1503" t="n">
        <v>0.266654405326987</v>
      </c>
      <c r="J1503" t="n">
        <v>0.2395449306557364</v>
      </c>
      <c r="K1503" t="n">
        <v>0.1702576525608116</v>
      </c>
      <c r="L1503" t="b">
        <v>0</v>
      </c>
      <c r="M1503" t="b">
        <v>0</v>
      </c>
      <c r="N1503" t="inlineStr">
        <is>
          <t>ref</t>
        </is>
      </c>
      <c r="O1503" t="n">
        <v>10</v>
      </c>
      <c r="P1503" t="n">
        <v>7.6e-06</v>
      </c>
      <c r="Q1503" t="n">
        <v>-45</v>
      </c>
      <c r="R1503" t="n">
        <v>0.00586</v>
      </c>
      <c r="S1503">
        <f>IMAGE("https://mitra.stanford.edu/kundaje/oak/projects/neuro-variants/variant_position/credible/roussos_2024/variant_figures/roussos_2024.childhood.Astrocyte/rs1230_count_position.png",4,220,900)</f>
        <v/>
      </c>
      <c r="T1503">
        <f>IMAGE("https://mitra.stanford.edu/kundaje/oak/projects/neuro-variants/variant_position/credible/roussos_2024/variant_figures/roussos_2024.childhood.Astrocyte/rs1230_profile_position.png",4,220,900)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-0.09369441399999991</v>
      </c>
      <c r="G1504" t="n">
        <v>0.0835945742894741</v>
      </c>
      <c r="H1504" t="n">
        <v>0.0171310174376889</v>
      </c>
      <c r="I1504" t="n">
        <v>0.2057207071304539</v>
      </c>
      <c r="J1504" t="n">
        <v>0.3478189187332555</v>
      </c>
      <c r="K1504" t="n">
        <v>0.108121613483876</v>
      </c>
      <c r="L1504" t="b">
        <v>0</v>
      </c>
      <c r="M1504" t="b">
        <v>0</v>
      </c>
      <c r="N1504" t="inlineStr">
        <is>
          <t>ref</t>
        </is>
      </c>
      <c r="O1504" t="n">
        <v>85</v>
      </c>
      <c r="P1504" t="n">
        <v>0.003223</v>
      </c>
      <c r="Q1504" t="n">
        <v>-95</v>
      </c>
      <c r="R1504" t="n">
        <v>0.197</v>
      </c>
      <c r="S1504">
        <f>IMAGE("https://mitra.stanford.edu/kundaje/oak/projects/neuro-variants/variant_position/credible/roussos_2024/variant_figures/roussos_2024.childhood.Astrocyte/rs12102297_count_position.png",4,220,900)</f>
        <v/>
      </c>
      <c r="T1504">
        <f>IMAGE("https://mitra.stanford.edu/kundaje/oak/projects/neuro-variants/variant_position/credible/roussos_2024/variant_figures/roussos_2024.childhood.Astrocyte/rs12102297_profile_position.png",4,220,900)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-0.011299576</v>
      </c>
      <c r="G1505" t="n">
        <v>0.596062998538584</v>
      </c>
      <c r="H1505" t="n">
        <v>0.0405444571895564</v>
      </c>
      <c r="I1505" t="n">
        <v>0.00908315360994</v>
      </c>
      <c r="J1505" t="n">
        <v>0.0046209154816697</v>
      </c>
      <c r="K1505" t="n">
        <v>0.796332242213775</v>
      </c>
      <c r="L1505" t="b">
        <v>0</v>
      </c>
      <c r="M1505" t="b">
        <v>0</v>
      </c>
      <c r="N1505" t="inlineStr">
        <is>
          <t>ref</t>
        </is>
      </c>
      <c r="O1505" t="n">
        <v>-100</v>
      </c>
      <c r="P1505" t="n">
        <v>0.1406</v>
      </c>
      <c r="Q1505" t="n">
        <v>100</v>
      </c>
      <c r="R1505" t="n">
        <v>0.1228</v>
      </c>
      <c r="S1505">
        <f>IMAGE("https://mitra.stanford.edu/kundaje/oak/projects/neuro-variants/variant_position/credible/roussos_2024/variant_figures/roussos_2024.childhood.Astrocyte/rs12447465_count_position.png",4,220,900)</f>
        <v/>
      </c>
      <c r="T1505">
        <f>IMAGE("https://mitra.stanford.edu/kundaje/oak/projects/neuro-variants/variant_position/credible/roussos_2024/variant_figures/roussos_2024.childhood.Astrocyte/rs12447465_profile_position.png",4,220,900)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-0.00859215524</v>
      </c>
      <c r="G1506" t="n">
        <v>0.7159262626480539</v>
      </c>
      <c r="H1506" t="n">
        <v>0.0105738354820131</v>
      </c>
      <c r="I1506" t="n">
        <v>0.6539002206326676</v>
      </c>
      <c r="J1506" t="n">
        <v>0.188428629220001</v>
      </c>
      <c r="K1506" t="n">
        <v>0.2126338679785946</v>
      </c>
      <c r="L1506" t="b">
        <v>0</v>
      </c>
      <c r="M1506" t="b">
        <v>0</v>
      </c>
      <c r="N1506" t="inlineStr">
        <is>
          <t>ref</t>
        </is>
      </c>
      <c r="O1506" t="n">
        <v>-85</v>
      </c>
      <c r="P1506" t="n">
        <v>0.00177</v>
      </c>
      <c r="Q1506" t="n">
        <v>100</v>
      </c>
      <c r="R1506" t="n">
        <v>0.3867</v>
      </c>
      <c r="S1506">
        <f>IMAGE("https://mitra.stanford.edu/kundaje/oak/projects/neuro-variants/variant_position/credible/roussos_2024/variant_figures/roussos_2024.childhood.Astrocyte/rs4785595_count_position.png",4,220,900)</f>
        <v/>
      </c>
      <c r="T1506">
        <f>IMAGE("https://mitra.stanford.edu/kundaje/oak/projects/neuro-variants/variant_position/credible/roussos_2024/variant_figures/roussos_2024.childhood.Astrocyte/rs4785595_profile_position.png",4,220,900)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0.0353438184</v>
      </c>
      <c r="G1507" t="n">
        <v>0.3411713886243601</v>
      </c>
      <c r="H1507" t="n">
        <v>0.0176812173044151</v>
      </c>
      <c r="I1507" t="n">
        <v>0.189862406537917</v>
      </c>
      <c r="J1507" t="n">
        <v>0.2172677520551395</v>
      </c>
      <c r="K1507" t="n">
        <v>0.186967274736333</v>
      </c>
      <c r="L1507" t="b">
        <v>0</v>
      </c>
      <c r="M1507" t="b">
        <v>0</v>
      </c>
      <c r="N1507" t="inlineStr">
        <is>
          <t>alt</t>
        </is>
      </c>
      <c r="O1507" t="n">
        <v>-100</v>
      </c>
      <c r="P1507" t="n">
        <v>0.004414</v>
      </c>
      <c r="Q1507" t="n">
        <v>5</v>
      </c>
      <c r="R1507" t="n">
        <v>0.00699</v>
      </c>
      <c r="S1507">
        <f>IMAGE("https://mitra.stanford.edu/kundaje/oak/projects/neuro-variants/variant_position/credible/roussos_2024/variant_figures/roussos_2024.childhood.Astrocyte/rs886952_count_position.png",4,220,900)</f>
        <v/>
      </c>
      <c r="T1507">
        <f>IMAGE("https://mitra.stanford.edu/kundaje/oak/projects/neuro-variants/variant_position/credible/roussos_2024/variant_figures/roussos_2024.childhood.Astrocyte/rs886952_profile_position.png",4,220,900)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-0.0396349628</v>
      </c>
      <c r="G1508" t="n">
        <v>0.2959259876650115</v>
      </c>
      <c r="H1508" t="n">
        <v>0.0158202455897916</v>
      </c>
      <c r="I1508" t="n">
        <v>0.257108727057325</v>
      </c>
      <c r="J1508" t="n">
        <v>0.0398868814545121</v>
      </c>
      <c r="K1508" t="n">
        <v>0.488892607674414</v>
      </c>
      <c r="L1508" t="b">
        <v>0</v>
      </c>
      <c r="M1508" t="b">
        <v>0</v>
      </c>
      <c r="N1508" t="inlineStr">
        <is>
          <t>ref</t>
        </is>
      </c>
      <c r="O1508" t="n">
        <v>85</v>
      </c>
      <c r="P1508" t="n">
        <v>0.04013</v>
      </c>
      <c r="Q1508" t="n">
        <v>-5</v>
      </c>
      <c r="R1508" t="n">
        <v>0.009705</v>
      </c>
      <c r="S1508">
        <f>IMAGE("https://mitra.stanford.edu/kundaje/oak/projects/neuro-variants/variant_position/credible/roussos_2024/variant_figures/roussos_2024.childhood.Astrocyte/rs4785721_count_position.png",4,220,900)</f>
        <v/>
      </c>
      <c r="T1508">
        <f>IMAGE("https://mitra.stanford.edu/kundaje/oak/projects/neuro-variants/variant_position/credible/roussos_2024/variant_figures/roussos_2024.childhood.Astrocyte/rs4785721_profile_position.png",4,220,900)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-0.00109801021</v>
      </c>
      <c r="G1509" t="n">
        <v>0.7678234142495165</v>
      </c>
      <c r="H1509" t="n">
        <v>0.0240463051059365</v>
      </c>
      <c r="I1509" t="n">
        <v>0.06873623048349591</v>
      </c>
      <c r="J1509" t="n">
        <v>0.0598734476731316</v>
      </c>
      <c r="K1509" t="n">
        <v>0.412172893142984</v>
      </c>
      <c r="L1509" t="b">
        <v>0</v>
      </c>
      <c r="M1509" t="b">
        <v>0</v>
      </c>
      <c r="N1509" t="inlineStr">
        <is>
          <t>ref</t>
        </is>
      </c>
      <c r="O1509" t="n">
        <v>80</v>
      </c>
      <c r="P1509" t="n">
        <v>0.0646</v>
      </c>
      <c r="Q1509" t="n">
        <v>-85</v>
      </c>
      <c r="R1509" t="n">
        <v>0.1279</v>
      </c>
      <c r="S1509">
        <f>IMAGE("https://mitra.stanford.edu/kundaje/oak/projects/neuro-variants/variant_position/credible/roussos_2024/variant_figures/roussos_2024.childhood.Astrocyte/rs1558184_count_position.png",4,220,900)</f>
        <v/>
      </c>
      <c r="T1509">
        <f>IMAGE("https://mitra.stanford.edu/kundaje/oak/projects/neuro-variants/variant_position/credible/roussos_2024/variant_figures/roussos_2024.childhood.Astrocyte/rs1558184_profile_position.png",4,220,900)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0.082289248</v>
      </c>
      <c r="G1510" t="n">
        <v>0.0858618293249622</v>
      </c>
      <c r="H1510" t="n">
        <v>0.0210591058584812</v>
      </c>
      <c r="I1510" t="n">
        <v>0.1203413454377848</v>
      </c>
      <c r="J1510" t="n">
        <v>0.0951455199102378</v>
      </c>
      <c r="K1510" t="n">
        <v>0.3391181889386873</v>
      </c>
      <c r="L1510" t="b">
        <v>0</v>
      </c>
      <c r="M1510" t="b">
        <v>0</v>
      </c>
      <c r="N1510" t="inlineStr">
        <is>
          <t>alt</t>
        </is>
      </c>
      <c r="O1510" t="n">
        <v>10</v>
      </c>
      <c r="P1510" t="n">
        <v>0.0046</v>
      </c>
      <c r="Q1510" t="n">
        <v>-95</v>
      </c>
      <c r="R1510" t="n">
        <v>0.2471</v>
      </c>
      <c r="S1510">
        <f>IMAGE("https://mitra.stanford.edu/kundaje/oak/projects/neuro-variants/variant_position/credible/roussos_2024/variant_figures/roussos_2024.childhood.Astrocyte/rs17232672_count_position.png",4,220,900)</f>
        <v/>
      </c>
      <c r="T1510">
        <f>IMAGE("https://mitra.stanford.edu/kundaje/oak/projects/neuro-variants/variant_position/credible/roussos_2024/variant_figures/roussos_2024.childhood.Astrocyte/rs17232672_profile_position.png",4,220,900)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0.059216296</v>
      </c>
      <c r="G1511" t="n">
        <v>0.1738262902558956</v>
      </c>
      <c r="H1511" t="n">
        <v>0.0113537488247195</v>
      </c>
      <c r="I1511" t="n">
        <v>0.5646378610746945</v>
      </c>
      <c r="J1511" t="n">
        <v>0.1077664048605863</v>
      </c>
      <c r="K1511" t="n">
        <v>0.315148876522306</v>
      </c>
      <c r="L1511" t="b">
        <v>0</v>
      </c>
      <c r="M1511" t="b">
        <v>0</v>
      </c>
      <c r="N1511" t="inlineStr">
        <is>
          <t>alt</t>
        </is>
      </c>
      <c r="O1511" t="n">
        <v>-10</v>
      </c>
      <c r="P1511" t="n">
        <v>0.003418</v>
      </c>
      <c r="Q1511" t="n">
        <v>15</v>
      </c>
      <c r="R1511" t="n">
        <v>0.01483</v>
      </c>
      <c r="S1511">
        <f>IMAGE("https://mitra.stanford.edu/kundaje/oak/projects/neuro-variants/variant_position/credible/roussos_2024/variant_figures/roussos_2024.childhood.Astrocyte/rs8045232_count_position.png",4,220,900)</f>
        <v/>
      </c>
      <c r="T1511">
        <f>IMAGE("https://mitra.stanford.edu/kundaje/oak/projects/neuro-variants/variant_position/credible/roussos_2024/variant_figures/roussos_2024.childhood.Astrocyte/rs8045232_profile_position.png",4,220,900)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0.0474423716</v>
      </c>
      <c r="G1512" t="n">
        <v>0.2257847339019567</v>
      </c>
      <c r="H1512" t="n">
        <v>0.0128298707337502</v>
      </c>
      <c r="I1512" t="n">
        <v>0.4457859767262871</v>
      </c>
      <c r="J1512" t="n">
        <v>0.0212597223176325</v>
      </c>
      <c r="K1512" t="n">
        <v>0.5982239408483289</v>
      </c>
      <c r="L1512" t="b">
        <v>0</v>
      </c>
      <c r="M1512" t="b">
        <v>0</v>
      </c>
      <c r="N1512" t="inlineStr">
        <is>
          <t>alt</t>
        </is>
      </c>
      <c r="O1512" t="n">
        <v>25</v>
      </c>
      <c r="P1512" t="n">
        <v>0.003784</v>
      </c>
      <c r="Q1512" t="n">
        <v>15</v>
      </c>
      <c r="R1512" t="n">
        <v>0.01062</v>
      </c>
      <c r="S1512">
        <f>IMAGE("https://mitra.stanford.edu/kundaje/oak/projects/neuro-variants/variant_position/credible/roussos_2024/variant_figures/roussos_2024.childhood.Astrocyte/rs9938865_count_position.png",4,220,900)</f>
        <v/>
      </c>
      <c r="T1512">
        <f>IMAGE("https://mitra.stanford.edu/kundaje/oak/projects/neuro-variants/variant_position/credible/roussos_2024/variant_figures/roussos_2024.childhood.Astrocyte/rs9938865_profile_position.png",4,220,900)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0.2340164307999999</v>
      </c>
      <c r="G1513" t="n">
        <v>0.0117269672432278</v>
      </c>
      <c r="H1513" t="n">
        <v>0.0266673132029397</v>
      </c>
      <c r="I1513" t="n">
        <v>0.0494092846208611</v>
      </c>
      <c r="J1513" t="n">
        <v>0.1049445474876538</v>
      </c>
      <c r="K1513" t="n">
        <v>0.3185433026221326</v>
      </c>
      <c r="L1513" t="b">
        <v>1</v>
      </c>
      <c r="M1513" t="b">
        <v>0</v>
      </c>
      <c r="N1513" t="inlineStr">
        <is>
          <t>alt</t>
        </is>
      </c>
      <c r="O1513" t="n">
        <v>60</v>
      </c>
      <c r="P1513" t="n">
        <v>0.02345</v>
      </c>
      <c r="Q1513" t="n">
        <v>60</v>
      </c>
      <c r="R1513" t="n">
        <v>0.0914</v>
      </c>
      <c r="S1513">
        <f>IMAGE("https://mitra.stanford.edu/kundaje/oak/projects/neuro-variants/variant_position/credible/roussos_2024/variant_figures/roussos_2024.childhood.Astrocyte/rs9940552_count_position.png",4,220,900)</f>
        <v/>
      </c>
      <c r="T1513">
        <f>IMAGE("https://mitra.stanford.edu/kundaje/oak/projects/neuro-variants/variant_position/credible/roussos_2024/variant_figures/roussos_2024.childhood.Astrocyte/rs9940552_profile_position.png",4,220,900)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-0.01113934586</v>
      </c>
      <c r="G1514" t="n">
        <v>0.3753050341409394</v>
      </c>
      <c r="H1514" t="n">
        <v>0.0280094175886267</v>
      </c>
      <c r="I1514" t="n">
        <v>0.0451172086087748</v>
      </c>
      <c r="J1514" t="n">
        <v>0.06515154984619841</v>
      </c>
      <c r="K1514" t="n">
        <v>0.3991221649219306</v>
      </c>
      <c r="L1514" t="b">
        <v>0</v>
      </c>
      <c r="M1514" t="b">
        <v>0</v>
      </c>
      <c r="N1514" t="inlineStr">
        <is>
          <t>ref</t>
        </is>
      </c>
      <c r="O1514" t="n">
        <v>100</v>
      </c>
      <c r="P1514" t="n">
        <v>0.01471</v>
      </c>
      <c r="Q1514" t="n">
        <v>-90</v>
      </c>
      <c r="R1514" t="n">
        <v>0.1648</v>
      </c>
      <c r="S1514">
        <f>IMAGE("https://mitra.stanford.edu/kundaje/oak/projects/neuro-variants/variant_position/credible/roussos_2024/variant_figures/roussos_2024.childhood.Astrocyte/rs9927381_count_position.png",4,220,900)</f>
        <v/>
      </c>
      <c r="T1514">
        <f>IMAGE("https://mitra.stanford.edu/kundaje/oak/projects/neuro-variants/variant_position/credible/roussos_2024/variant_figures/roussos_2024.childhood.Astrocyte/rs9927381_profile_position.png",4,220,900)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-0.1056329</v>
      </c>
      <c r="G1515" t="n">
        <v>0.06867477512639621</v>
      </c>
      <c r="H1515" t="n">
        <v>0.0202447542275263</v>
      </c>
      <c r="I1515" t="n">
        <v>0.1235028124170012</v>
      </c>
      <c r="J1515" t="n">
        <v>0.3344347507499255</v>
      </c>
      <c r="K1515" t="n">
        <v>0.114586160281026</v>
      </c>
      <c r="L1515" t="b">
        <v>0</v>
      </c>
      <c r="M1515" t="b">
        <v>0</v>
      </c>
      <c r="N1515" t="inlineStr">
        <is>
          <t>ref</t>
        </is>
      </c>
      <c r="O1515" t="n">
        <v>-85</v>
      </c>
      <c r="P1515" t="n">
        <v>0.01198</v>
      </c>
      <c r="Q1515" t="n">
        <v>0</v>
      </c>
      <c r="R1515" t="n">
        <v>0</v>
      </c>
      <c r="S1515">
        <f>IMAGE("https://mitra.stanford.edu/kundaje/oak/projects/neuro-variants/variant_position/credible/roussos_2024/variant_figures/roussos_2024.childhood.Astrocyte/rs75329315_count_position.png",4,220,900)</f>
        <v/>
      </c>
      <c r="T1515">
        <f>IMAGE("https://mitra.stanford.edu/kundaje/oak/projects/neuro-variants/variant_position/credible/roussos_2024/variant_figures/roussos_2024.childhood.Astrocyte/rs75329315_profile_position.png",4,220,900)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-0.0148785071999999</v>
      </c>
      <c r="G1516" t="n">
        <v>0.6202524763452835</v>
      </c>
      <c r="H1516" t="n">
        <v>0.0233085555188815</v>
      </c>
      <c r="I1516" t="n">
        <v>0.0762536191248348</v>
      </c>
      <c r="J1516" t="n">
        <v>0.0729637516887636</v>
      </c>
      <c r="K1516" t="n">
        <v>0.3816618598566924</v>
      </c>
      <c r="L1516" t="b">
        <v>0</v>
      </c>
      <c r="M1516" t="b">
        <v>0</v>
      </c>
      <c r="N1516" t="inlineStr">
        <is>
          <t>ref</t>
        </is>
      </c>
      <c r="O1516" t="n">
        <v>100</v>
      </c>
      <c r="P1516" t="n">
        <v>0.01656</v>
      </c>
      <c r="Q1516" t="n">
        <v>-75</v>
      </c>
      <c r="R1516" t="n">
        <v>0.07056</v>
      </c>
      <c r="S1516">
        <f>IMAGE("https://mitra.stanford.edu/kundaje/oak/projects/neuro-variants/variant_position/credible/roussos_2024/variant_figures/roussos_2024.childhood.Astrocyte/rs7225625_count_position.png",4,220,900)</f>
        <v/>
      </c>
      <c r="T1516">
        <f>IMAGE("https://mitra.stanford.edu/kundaje/oak/projects/neuro-variants/variant_position/credible/roussos_2024/variant_figures/roussos_2024.childhood.Astrocyte/rs7225625_profile_position.png",4,220,900)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0.085694891</v>
      </c>
      <c r="G1517" t="n">
        <v>0.097070778125874</v>
      </c>
      <c r="H1517" t="n">
        <v>0.0116338812423235</v>
      </c>
      <c r="I1517" t="n">
        <v>0.5528218044432666</v>
      </c>
      <c r="J1517" t="n">
        <v>0.0854113713906253</v>
      </c>
      <c r="K1517" t="n">
        <v>0.3545449364712985</v>
      </c>
      <c r="L1517" t="b">
        <v>0</v>
      </c>
      <c r="M1517" t="b">
        <v>0</v>
      </c>
      <c r="N1517" t="inlineStr">
        <is>
          <t>alt</t>
        </is>
      </c>
      <c r="O1517" t="n">
        <v>100</v>
      </c>
      <c r="P1517" t="n">
        <v>0.01991</v>
      </c>
      <c r="Q1517" t="n">
        <v>-80</v>
      </c>
      <c r="R1517" t="n">
        <v>0.1633</v>
      </c>
      <c r="S1517">
        <f>IMAGE("https://mitra.stanford.edu/kundaje/oak/projects/neuro-variants/variant_position/credible/roussos_2024/variant_figures/roussos_2024.childhood.Astrocyte/rs9906314_count_position.png",4,220,900)</f>
        <v/>
      </c>
      <c r="T1517">
        <f>IMAGE("https://mitra.stanford.edu/kundaje/oak/projects/neuro-variants/variant_position/credible/roussos_2024/variant_figures/roussos_2024.childhood.Astrocyte/rs9906314_profile_position.png",4,220,900)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-0.0807046884</v>
      </c>
      <c r="G1518" t="n">
        <v>0.1135665612590866</v>
      </c>
      <c r="H1518" t="n">
        <v>0.0166180767313106</v>
      </c>
      <c r="I1518" t="n">
        <v>0.2245792301413931</v>
      </c>
      <c r="J1518" t="n">
        <v>0.0561554960194789</v>
      </c>
      <c r="K1518" t="n">
        <v>0.4262629343791118</v>
      </c>
      <c r="L1518" t="b">
        <v>0</v>
      </c>
      <c r="M1518" t="b">
        <v>0</v>
      </c>
      <c r="N1518" t="inlineStr">
        <is>
          <t>ref</t>
        </is>
      </c>
      <c r="O1518" t="n">
        <v>-85</v>
      </c>
      <c r="P1518" t="n">
        <v>0.005928</v>
      </c>
      <c r="Q1518" t="n">
        <v>60</v>
      </c>
      <c r="R1518" t="n">
        <v>0.09656000000000001</v>
      </c>
      <c r="S1518">
        <f>IMAGE("https://mitra.stanford.edu/kundaje/oak/projects/neuro-variants/variant_position/credible/roussos_2024/variant_figures/roussos_2024.childhood.Astrocyte/rs59539549_count_position.png",4,220,900)</f>
        <v/>
      </c>
      <c r="T1518">
        <f>IMAGE("https://mitra.stanford.edu/kundaje/oak/projects/neuro-variants/variant_position/credible/roussos_2024/variant_figures/roussos_2024.childhood.Astrocyte/rs59539549_profile_position.png",4,220,900)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0.01469187646</v>
      </c>
      <c r="G1519" t="n">
        <v>0.6147529364160841</v>
      </c>
      <c r="H1519" t="n">
        <v>0.0214060568070252</v>
      </c>
      <c r="I1519" t="n">
        <v>0.1046766105436973</v>
      </c>
      <c r="J1519" t="n">
        <v>0.0744964240189904</v>
      </c>
      <c r="K1519" t="n">
        <v>0.3941183405737294</v>
      </c>
      <c r="L1519" t="b">
        <v>0</v>
      </c>
      <c r="M1519" t="b">
        <v>0</v>
      </c>
      <c r="N1519" t="inlineStr">
        <is>
          <t>alt</t>
        </is>
      </c>
      <c r="O1519" t="n">
        <v>-100</v>
      </c>
      <c r="P1519" t="n">
        <v>0.00583</v>
      </c>
      <c r="Q1519" t="n">
        <v>60</v>
      </c>
      <c r="R1519" t="n">
        <v>0.1299</v>
      </c>
      <c r="S1519">
        <f>IMAGE("https://mitra.stanford.edu/kundaje/oak/projects/neuro-variants/variant_position/credible/roussos_2024/variant_figures/roussos_2024.childhood.Astrocyte/rs73292184_count_position.png",4,220,900)</f>
        <v/>
      </c>
      <c r="T1519">
        <f>IMAGE("https://mitra.stanford.edu/kundaje/oak/projects/neuro-variants/variant_position/credible/roussos_2024/variant_figures/roussos_2024.childhood.Astrocyte/rs73292184_profile_position.png",4,220,900)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0.21108969</v>
      </c>
      <c r="G1520" t="n">
        <v>0.0144605632485562</v>
      </c>
      <c r="H1520" t="n">
        <v>0.0270637291400572</v>
      </c>
      <c r="I1520" t="n">
        <v>0.0451919194189316</v>
      </c>
      <c r="J1520" t="n">
        <v>0.2640325769198476</v>
      </c>
      <c r="K1520" t="n">
        <v>0.1567256306522425</v>
      </c>
      <c r="L1520" t="b">
        <v>1</v>
      </c>
      <c r="M1520" t="b">
        <v>0</v>
      </c>
      <c r="N1520" t="inlineStr">
        <is>
          <t>alt</t>
        </is>
      </c>
      <c r="O1520" t="n">
        <v>-100</v>
      </c>
      <c r="P1520" t="n">
        <v>0.0401</v>
      </c>
      <c r="Q1520" t="n">
        <v>50</v>
      </c>
      <c r="R1520" t="n">
        <v>0.1166</v>
      </c>
      <c r="S1520">
        <f>IMAGE("https://mitra.stanford.edu/kundaje/oak/projects/neuro-variants/variant_position/credible/roussos_2024/variant_figures/roussos_2024.childhood.Astrocyte/rs12449566_count_position.png",4,220,900)</f>
        <v/>
      </c>
      <c r="T1520">
        <f>IMAGE("https://mitra.stanford.edu/kundaje/oak/projects/neuro-variants/variant_position/credible/roussos_2024/variant_figures/roussos_2024.childhood.Astrocyte/rs12449566_profile_position.png",4,220,900)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-0.0755663722</v>
      </c>
      <c r="G1521" t="n">
        <v>0.1221109496085543</v>
      </c>
      <c r="H1521" t="n">
        <v>0.0149580652942934</v>
      </c>
      <c r="I1521" t="n">
        <v>0.3056965914348383</v>
      </c>
      <c r="J1521" t="n">
        <v>0.2133498202468457</v>
      </c>
      <c r="K1521" t="n">
        <v>0.1967681969457742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0.03894</v>
      </c>
      <c r="Q1521" t="n">
        <v>35</v>
      </c>
      <c r="R1521" t="n">
        <v>0.06494</v>
      </c>
      <c r="S1521">
        <f>IMAGE("https://mitra.stanford.edu/kundaje/oak/projects/neuro-variants/variant_position/credible/roussos_2024/variant_figures/roussos_2024.childhood.Astrocyte/rs12450430_count_position.png",4,220,900)</f>
        <v/>
      </c>
      <c r="T1521">
        <f>IMAGE("https://mitra.stanford.edu/kundaje/oak/projects/neuro-variants/variant_position/credible/roussos_2024/variant_figures/roussos_2024.childhood.Astrocyte/rs12450430_profile_position.png",4,220,900)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0.0559396271999999</v>
      </c>
      <c r="G1522" t="n">
        <v>0.1799236997941264</v>
      </c>
      <c r="H1522" t="n">
        <v>0.013942621111515</v>
      </c>
      <c r="I1522" t="n">
        <v>0.3636984743746338</v>
      </c>
      <c r="J1522" t="n">
        <v>0.4826169922068802</v>
      </c>
      <c r="K1522" t="n">
        <v>0.0594329389394721</v>
      </c>
      <c r="L1522" t="b">
        <v>0</v>
      </c>
      <c r="M1522" t="b">
        <v>0</v>
      </c>
      <c r="N1522" t="inlineStr">
        <is>
          <t>alt</t>
        </is>
      </c>
      <c r="O1522" t="n">
        <v>15</v>
      </c>
      <c r="P1522" t="n">
        <v>0.0006104</v>
      </c>
      <c r="Q1522" t="n">
        <v>100</v>
      </c>
      <c r="R1522" t="n">
        <v>0.2208</v>
      </c>
      <c r="S1522">
        <f>IMAGE("https://mitra.stanford.edu/kundaje/oak/projects/neuro-variants/variant_position/credible/roussos_2024/variant_figures/roussos_2024.childhood.Astrocyte/rs11078769_count_position.png",4,220,900)</f>
        <v/>
      </c>
      <c r="T1522">
        <f>IMAGE("https://mitra.stanford.edu/kundaje/oak/projects/neuro-variants/variant_position/credible/roussos_2024/variant_figures/roussos_2024.childhood.Astrocyte/rs11078769_profile_position.png",4,220,900)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0.0205456188</v>
      </c>
      <c r="G1523" t="n">
        <v>0.5054951948726407</v>
      </c>
      <c r="H1523" t="n">
        <v>0.0118286720342405</v>
      </c>
      <c r="I1523" t="n">
        <v>0.5298177826418425</v>
      </c>
      <c r="J1523" t="n">
        <v>0.2238655705922312</v>
      </c>
      <c r="K1523" t="n">
        <v>0.1818169889424041</v>
      </c>
      <c r="L1523" t="b">
        <v>0</v>
      </c>
      <c r="M1523" t="b">
        <v>0</v>
      </c>
      <c r="N1523" t="inlineStr">
        <is>
          <t>alt</t>
        </is>
      </c>
      <c r="O1523" t="n">
        <v>-100</v>
      </c>
      <c r="P1523" t="n">
        <v>0.0125</v>
      </c>
      <c r="Q1523" t="n">
        <v>-30</v>
      </c>
      <c r="R1523" t="n">
        <v>0.07389999999999999</v>
      </c>
      <c r="S1523">
        <f>IMAGE("https://mitra.stanford.edu/kundaje/oak/projects/neuro-variants/variant_position/credible/roussos_2024/variant_figures/roussos_2024.childhood.Astrocyte/rs4239070_count_position.png",4,220,900)</f>
        <v/>
      </c>
      <c r="T1523">
        <f>IMAGE("https://mitra.stanford.edu/kundaje/oak/projects/neuro-variants/variant_position/credible/roussos_2024/variant_figures/roussos_2024.childhood.Astrocyte/rs4239070_profile_position.png",4,220,900)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0.291105344</v>
      </c>
      <c r="G1524" t="n">
        <v>0.0064201350975623</v>
      </c>
      <c r="H1524" t="n">
        <v>0.0289613660935262</v>
      </c>
      <c r="I1524" t="n">
        <v>0.0450273855258657</v>
      </c>
      <c r="J1524" t="n">
        <v>0.4016212131620525</v>
      </c>
      <c r="K1524" t="n">
        <v>0.08603346180256249</v>
      </c>
      <c r="L1524" t="b">
        <v>1</v>
      </c>
      <c r="M1524" t="b">
        <v>1</v>
      </c>
      <c r="N1524" t="inlineStr">
        <is>
          <t>alt</t>
        </is>
      </c>
      <c r="O1524" t="n">
        <v>-30</v>
      </c>
      <c r="P1524" t="n">
        <v>0.005257</v>
      </c>
      <c r="Q1524" t="n">
        <v>-90</v>
      </c>
      <c r="R1524" t="n">
        <v>0.3057</v>
      </c>
      <c r="S1524">
        <f>IMAGE("https://mitra.stanford.edu/kundaje/oak/projects/neuro-variants/variant_position/credible/roussos_2024/variant_figures/roussos_2024.childhood.Astrocyte/rs4467122_count_position.png",4,220,900)</f>
        <v/>
      </c>
      <c r="T1524">
        <f>IMAGE("https://mitra.stanford.edu/kundaje/oak/projects/neuro-variants/variant_position/credible/roussos_2024/variant_figures/roussos_2024.childhood.Astrocyte/rs4467122_profile_position.png",4,220,900)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-0.0138061523999999</v>
      </c>
      <c r="G1525" t="n">
        <v>0.3027954092657337</v>
      </c>
      <c r="H1525" t="n">
        <v>0.0168932074540295</v>
      </c>
      <c r="I1525" t="n">
        <v>0.225400431339043</v>
      </c>
      <c r="J1525" t="n">
        <v>0.8470510560020761</v>
      </c>
      <c r="K1525" t="n">
        <v>0.0049004639393144</v>
      </c>
      <c r="L1525" t="b">
        <v>0</v>
      </c>
      <c r="M1525" t="b">
        <v>0</v>
      </c>
      <c r="N1525" t="inlineStr">
        <is>
          <t>ref</t>
        </is>
      </c>
      <c r="O1525" t="n">
        <v>100</v>
      </c>
      <c r="P1525" t="n">
        <v>0.04315</v>
      </c>
      <c r="Q1525" t="n">
        <v>-75</v>
      </c>
      <c r="R1525" t="n">
        <v>0.0708</v>
      </c>
      <c r="S1525">
        <f>IMAGE("https://mitra.stanford.edu/kundaje/oak/projects/neuro-variants/variant_position/credible/roussos_2024/variant_figures/roussos_2024.childhood.Astrocyte/rs4530175_count_position.png",4,220,900)</f>
        <v/>
      </c>
      <c r="T1525">
        <f>IMAGE("https://mitra.stanford.edu/kundaje/oak/projects/neuro-variants/variant_position/credible/roussos_2024/variant_figures/roussos_2024.childhood.Astrocyte/rs4530175_profile_position.png",4,220,900)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0.0473901866</v>
      </c>
      <c r="G1526" t="n">
        <v>0.2382638179231293</v>
      </c>
      <c r="H1526" t="n">
        <v>0.0189777989387166</v>
      </c>
      <c r="I1526" t="n">
        <v>0.1524044525835633</v>
      </c>
      <c r="J1526" t="n">
        <v>0.648743254486196</v>
      </c>
      <c r="K1526" t="n">
        <v>0.0254405289308784</v>
      </c>
      <c r="L1526" t="b">
        <v>0</v>
      </c>
      <c r="M1526" t="b">
        <v>0</v>
      </c>
      <c r="N1526" t="inlineStr">
        <is>
          <t>alt</t>
        </is>
      </c>
      <c r="O1526" t="n">
        <v>-75</v>
      </c>
      <c r="P1526" t="n">
        <v>0.001659</v>
      </c>
      <c r="Q1526" t="n">
        <v>65</v>
      </c>
      <c r="R1526" t="n">
        <v>0.1505</v>
      </c>
      <c r="S1526">
        <f>IMAGE("https://mitra.stanford.edu/kundaje/oak/projects/neuro-variants/variant_position/credible/roussos_2024/variant_figures/roussos_2024.childhood.Astrocyte/rs7207749_count_position.png",4,220,900)</f>
        <v/>
      </c>
      <c r="T1526">
        <f>IMAGE("https://mitra.stanford.edu/kundaje/oak/projects/neuro-variants/variant_position/credible/roussos_2024/variant_figures/roussos_2024.childhood.Astrocyte/rs7207749_profile_position.png",4,220,900)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-0.0084423008699999</v>
      </c>
      <c r="G1527" t="n">
        <v>0.438800855146728</v>
      </c>
      <c r="H1527" t="n">
        <v>0.011688337431835</v>
      </c>
      <c r="I1527" t="n">
        <v>0.5382218224545176</v>
      </c>
      <c r="J1527" t="n">
        <v>0.68028210940899</v>
      </c>
      <c r="K1527" t="n">
        <v>0.0210267820369476</v>
      </c>
      <c r="L1527" t="b">
        <v>0</v>
      </c>
      <c r="M1527" t="b">
        <v>0</v>
      </c>
      <c r="N1527" t="inlineStr">
        <is>
          <t>ref</t>
        </is>
      </c>
      <c r="O1527" t="n">
        <v>50</v>
      </c>
      <c r="P1527" t="n">
        <v>0.001404</v>
      </c>
      <c r="Q1527" t="n">
        <v>-95</v>
      </c>
      <c r="R1527" t="n">
        <v>0.1201</v>
      </c>
      <c r="S1527">
        <f>IMAGE("https://mitra.stanford.edu/kundaje/oak/projects/neuro-variants/variant_position/credible/roussos_2024/variant_figures/roussos_2024.childhood.Astrocyte/rs7222716_count_position.png",4,220,900)</f>
        <v/>
      </c>
      <c r="T1527">
        <f>IMAGE("https://mitra.stanford.edu/kundaje/oak/projects/neuro-variants/variant_position/credible/roussos_2024/variant_figures/roussos_2024.childhood.Astrocyte/rs7222716_profile_position.png",4,220,900)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0.0029259120999999</v>
      </c>
      <c r="G1528" t="n">
        <v>0.7057792596369198</v>
      </c>
      <c r="H1528" t="n">
        <v>0.0126225214107824</v>
      </c>
      <c r="I1528" t="n">
        <v>0.4631861849163181</v>
      </c>
      <c r="J1528" t="n">
        <v>0.683775655850946</v>
      </c>
      <c r="K1528" t="n">
        <v>0.0205896313507095</v>
      </c>
      <c r="L1528" t="b">
        <v>0</v>
      </c>
      <c r="M1528" t="b">
        <v>0</v>
      </c>
      <c r="N1528" t="inlineStr">
        <is>
          <t>alt</t>
        </is>
      </c>
      <c r="O1528" t="n">
        <v>100</v>
      </c>
      <c r="P1528" t="n">
        <v>0.01816</v>
      </c>
      <c r="Q1528" t="n">
        <v>100</v>
      </c>
      <c r="R1528" t="n">
        <v>0.11206</v>
      </c>
      <c r="S1528">
        <f>IMAGE("https://mitra.stanford.edu/kundaje/oak/projects/neuro-variants/variant_position/credible/roussos_2024/variant_figures/roussos_2024.childhood.Astrocyte/rs7222728_count_position.png",4,220,900)</f>
        <v/>
      </c>
      <c r="T1528">
        <f>IMAGE("https://mitra.stanford.edu/kundaje/oak/projects/neuro-variants/variant_position/credible/roussos_2024/variant_figures/roussos_2024.childhood.Astrocyte/rs7222728_profile_position.png",4,220,900)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-0.09062713175999999</v>
      </c>
      <c r="G1529" t="n">
        <v>0.1233728756305596</v>
      </c>
      <c r="H1529" t="n">
        <v>0.0158210741151061</v>
      </c>
      <c r="I1529" t="n">
        <v>0.2646678505623612</v>
      </c>
      <c r="J1529" t="n">
        <v>0.6190568874844481</v>
      </c>
      <c r="K1529" t="n">
        <v>0.0292799139084075</v>
      </c>
      <c r="L1529" t="b">
        <v>0</v>
      </c>
      <c r="M1529" t="b">
        <v>0</v>
      </c>
      <c r="N1529" t="inlineStr">
        <is>
          <t>ref</t>
        </is>
      </c>
      <c r="O1529" t="n">
        <v>-85</v>
      </c>
      <c r="P1529" t="n">
        <v>0.01329</v>
      </c>
      <c r="Q1529" t="n">
        <v>-85</v>
      </c>
      <c r="R1529" t="n">
        <v>0.0813</v>
      </c>
      <c r="S1529">
        <f>IMAGE("https://mitra.stanford.edu/kundaje/oak/projects/neuro-variants/variant_position/credible/roussos_2024/variant_figures/roussos_2024.childhood.Astrocyte/rs7214308_count_position.png",4,220,900)</f>
        <v/>
      </c>
      <c r="T1529">
        <f>IMAGE("https://mitra.stanford.edu/kundaje/oak/projects/neuro-variants/variant_position/credible/roussos_2024/variant_figures/roussos_2024.childhood.Astrocyte/rs7214308_profile_position.png",4,220,900)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-0.03877774374</v>
      </c>
      <c r="G1530" t="n">
        <v>0.2591148714824857</v>
      </c>
      <c r="H1530" t="n">
        <v>0.0147370119503364</v>
      </c>
      <c r="I1530" t="n">
        <v>0.3154201034348514</v>
      </c>
      <c r="J1530" t="n">
        <v>0.6170944868066528</v>
      </c>
      <c r="K1530" t="n">
        <v>0.0296436117530421</v>
      </c>
      <c r="L1530" t="b">
        <v>0</v>
      </c>
      <c r="M1530" t="b">
        <v>0</v>
      </c>
      <c r="N1530" t="inlineStr">
        <is>
          <t>ref</t>
        </is>
      </c>
      <c r="O1530" t="n">
        <v>-95</v>
      </c>
      <c r="P1530" t="n">
        <v>0.011246</v>
      </c>
      <c r="Q1530" t="n">
        <v>-95</v>
      </c>
      <c r="R1530" t="n">
        <v>0.09326</v>
      </c>
      <c r="S1530">
        <f>IMAGE("https://mitra.stanford.edu/kundaje/oak/projects/neuro-variants/variant_position/credible/roussos_2024/variant_figures/roussos_2024.childhood.Astrocyte/rs12939002_count_position.png",4,220,900)</f>
        <v/>
      </c>
      <c r="T1530">
        <f>IMAGE("https://mitra.stanford.edu/kundaje/oak/projects/neuro-variants/variant_position/credible/roussos_2024/variant_figures/roussos_2024.childhood.Astrocyte/rs12939002_profile_position.png",4,220,900)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0.0038251164339999</v>
      </c>
      <c r="G1531" t="n">
        <v>0.8678584100436493</v>
      </c>
      <c r="H1531" t="n">
        <v>0.0104645347486138</v>
      </c>
      <c r="I1531" t="n">
        <v>0.668491679099344</v>
      </c>
      <c r="J1531" t="n">
        <v>0.0454244998587925</v>
      </c>
      <c r="K1531" t="n">
        <v>0.4784430651520931</v>
      </c>
      <c r="L1531" t="b">
        <v>0</v>
      </c>
      <c r="M1531" t="b">
        <v>0</v>
      </c>
      <c r="N1531" t="inlineStr">
        <is>
          <t>alt</t>
        </is>
      </c>
      <c r="O1531" t="n">
        <v>70</v>
      </c>
      <c r="P1531" t="n">
        <v>0.03693</v>
      </c>
      <c r="Q1531" t="n">
        <v>-100</v>
      </c>
      <c r="R1531" t="n">
        <v>0.2224</v>
      </c>
      <c r="S1531">
        <f>IMAGE("https://mitra.stanford.edu/kundaje/oak/projects/neuro-variants/variant_position/credible/roussos_2024/variant_figures/roussos_2024.childhood.Astrocyte/rs6503245_count_position.png",4,220,900)</f>
        <v/>
      </c>
      <c r="T1531">
        <f>IMAGE("https://mitra.stanford.edu/kundaje/oak/projects/neuro-variants/variant_position/credible/roussos_2024/variant_figures/roussos_2024.childhood.Astrocyte/rs6503245_profile_position.png",4,220,900)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0.0612536219999999</v>
      </c>
      <c r="G1532" t="n">
        <v>0.1571927150857393</v>
      </c>
      <c r="H1532" t="n">
        <v>0.0126336439045926</v>
      </c>
      <c r="I1532" t="n">
        <v>0.4622339423974442</v>
      </c>
      <c r="J1532" t="n">
        <v>0.0687565356109698</v>
      </c>
      <c r="K1532" t="n">
        <v>0.4027248246778752</v>
      </c>
      <c r="L1532" t="b">
        <v>0</v>
      </c>
      <c r="M1532" t="b">
        <v>0</v>
      </c>
      <c r="N1532" t="inlineStr">
        <is>
          <t>alt</t>
        </is>
      </c>
      <c r="O1532" t="n">
        <v>80</v>
      </c>
      <c r="P1532" t="n">
        <v>0.00602</v>
      </c>
      <c r="Q1532" t="n">
        <v>60</v>
      </c>
      <c r="R1532" t="n">
        <v>0.0665</v>
      </c>
      <c r="S1532">
        <f>IMAGE("https://mitra.stanford.edu/kundaje/oak/projects/neuro-variants/variant_position/credible/roussos_2024/variant_figures/roussos_2024.childhood.Astrocyte/rs8082647_count_position.png",4,220,900)</f>
        <v/>
      </c>
      <c r="T1532">
        <f>IMAGE("https://mitra.stanford.edu/kundaje/oak/projects/neuro-variants/variant_position/credible/roussos_2024/variant_figures/roussos_2024.childhood.Astrocyte/rs8082647_profile_position.png",4,220,900)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-0.00519636788</v>
      </c>
      <c r="G1533" t="n">
        <v>0.7979079597118004</v>
      </c>
      <c r="H1533" t="n">
        <v>0.0076438228757755</v>
      </c>
      <c r="I1533" t="n">
        <v>0.934198722025064</v>
      </c>
      <c r="J1533" t="n">
        <v>0.0028333066184271</v>
      </c>
      <c r="K1533" t="n">
        <v>0.8270190370594647</v>
      </c>
      <c r="L1533" t="b">
        <v>0</v>
      </c>
      <c r="M1533" t="b">
        <v>0</v>
      </c>
      <c r="N1533" t="inlineStr">
        <is>
          <t>ref</t>
        </is>
      </c>
      <c r="O1533" t="n">
        <v>-95</v>
      </c>
      <c r="P1533" t="n">
        <v>0.01117</v>
      </c>
      <c r="Q1533" t="n">
        <v>20</v>
      </c>
      <c r="R1533" t="n">
        <v>0.02283</v>
      </c>
      <c r="S1533">
        <f>IMAGE("https://mitra.stanford.edu/kundaje/oak/projects/neuro-variants/variant_position/credible/roussos_2024/variant_figures/roussos_2024.childhood.Astrocyte/rs2760742_count_position.png",4,220,900)</f>
        <v/>
      </c>
      <c r="T1533">
        <f>IMAGE("https://mitra.stanford.edu/kundaje/oak/projects/neuro-variants/variant_position/credible/roussos_2024/variant_figures/roussos_2024.childhood.Astrocyte/rs2760742_profile_position.png",4,220,900)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0.0332249808</v>
      </c>
      <c r="G1534" t="n">
        <v>0.3443234969824554</v>
      </c>
      <c r="H1534" t="n">
        <v>0.0123131544727192</v>
      </c>
      <c r="I1534" t="n">
        <v>0.4778868340054279</v>
      </c>
      <c r="J1534" t="n">
        <v>0.254712891087144</v>
      </c>
      <c r="K1534" t="n">
        <v>0.1629486983380612</v>
      </c>
      <c r="L1534" t="b">
        <v>0</v>
      </c>
      <c r="M1534" t="b">
        <v>0</v>
      </c>
      <c r="N1534" t="inlineStr">
        <is>
          <t>alt</t>
        </is>
      </c>
      <c r="O1534" t="n">
        <v>95</v>
      </c>
      <c r="P1534" t="n">
        <v>0.01015</v>
      </c>
      <c r="Q1534" t="n">
        <v>0</v>
      </c>
      <c r="R1534" t="n">
        <v>0</v>
      </c>
      <c r="S1534">
        <f>IMAGE("https://mitra.stanford.edu/kundaje/oak/projects/neuro-variants/variant_position/credible/roussos_2024/variant_figures/roussos_2024.childhood.Astrocyte/rs2760751_count_position.png",4,220,900)</f>
        <v/>
      </c>
      <c r="T1534">
        <f>IMAGE("https://mitra.stanford.edu/kundaje/oak/projects/neuro-variants/variant_position/credible/roussos_2024/variant_figures/roussos_2024.childhood.Astrocyte/rs2760751_profile_position.png",4,220,900)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0.00725867436</v>
      </c>
      <c r="G1535" t="n">
        <v>0.6796183428300008</v>
      </c>
      <c r="H1535" t="n">
        <v>0.0130157175981383</v>
      </c>
      <c r="I1535" t="n">
        <v>0.414450716330292</v>
      </c>
      <c r="J1535" t="n">
        <v>0.0240915023699937</v>
      </c>
      <c r="K1535" t="n">
        <v>0.5664633544201969</v>
      </c>
      <c r="L1535" t="b">
        <v>0</v>
      </c>
      <c r="M1535" t="b">
        <v>0</v>
      </c>
      <c r="N1535" t="inlineStr">
        <is>
          <t>alt</t>
        </is>
      </c>
      <c r="O1535" t="n">
        <v>-100</v>
      </c>
      <c r="P1535" t="n">
        <v>0.1736</v>
      </c>
      <c r="Q1535" t="n">
        <v>90</v>
      </c>
      <c r="R1535" t="n">
        <v>0.1271</v>
      </c>
      <c r="S1535">
        <f>IMAGE("https://mitra.stanford.edu/kundaje/oak/projects/neuro-variants/variant_position/credible/roussos_2024/variant_figures/roussos_2024.childhood.Astrocyte/rs8067895_count_position.png",4,220,900)</f>
        <v/>
      </c>
      <c r="T1535">
        <f>IMAGE("https://mitra.stanford.edu/kundaje/oak/projects/neuro-variants/variant_position/credible/roussos_2024/variant_figures/roussos_2024.childhood.Astrocyte/rs8067895_profile_position.png",4,220,900)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0.1032571987999999</v>
      </c>
      <c r="G1536" t="n">
        <v>0.0770316427473227</v>
      </c>
      <c r="H1536" t="n">
        <v>0.0215056883982142</v>
      </c>
      <c r="I1536" t="n">
        <v>0.0994376084408692</v>
      </c>
      <c r="J1536" t="n">
        <v>0.0216634990420797</v>
      </c>
      <c r="K1536" t="n">
        <v>0.5841582011900714</v>
      </c>
      <c r="L1536" t="b">
        <v>0</v>
      </c>
      <c r="M1536" t="b">
        <v>0</v>
      </c>
      <c r="N1536" t="inlineStr">
        <is>
          <t>alt</t>
        </is>
      </c>
      <c r="O1536" t="n">
        <v>-70</v>
      </c>
      <c r="P1536" t="n">
        <v>0.01294</v>
      </c>
      <c r="Q1536" t="n">
        <v>-55</v>
      </c>
      <c r="R1536" t="n">
        <v>0.1433</v>
      </c>
      <c r="S1536">
        <f>IMAGE("https://mitra.stanford.edu/kundaje/oak/projects/neuro-variants/variant_position/credible/roussos_2024/variant_figures/roussos_2024.childhood.Astrocyte/rs2760736_count_position.png",4,220,900)</f>
        <v/>
      </c>
      <c r="T1536">
        <f>IMAGE("https://mitra.stanford.edu/kundaje/oak/projects/neuro-variants/variant_position/credible/roussos_2024/variant_figures/roussos_2024.childhood.Astrocyte/rs2760736_profile_position.png",4,220,900)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0.01705370792</v>
      </c>
      <c r="G1537" t="n">
        <v>0.5566659798437723</v>
      </c>
      <c r="H1537" t="n">
        <v>0.0307803150290995</v>
      </c>
      <c r="I1537" t="n">
        <v>0.027163479542287</v>
      </c>
      <c r="J1537" t="n">
        <v>0.06885194599009251</v>
      </c>
      <c r="K1537" t="n">
        <v>0.3907100787998988</v>
      </c>
      <c r="L1537" t="b">
        <v>0</v>
      </c>
      <c r="M1537" t="b">
        <v>0</v>
      </c>
      <c r="N1537" t="inlineStr">
        <is>
          <t>alt</t>
        </is>
      </c>
      <c r="O1537" t="n">
        <v>50</v>
      </c>
      <c r="P1537" t="n">
        <v>0.001953</v>
      </c>
      <c r="Q1537" t="n">
        <v>-5</v>
      </c>
      <c r="R1537" t="n">
        <v>0.02037</v>
      </c>
      <c r="S1537">
        <f>IMAGE("https://mitra.stanford.edu/kundaje/oak/projects/neuro-variants/variant_position/credible/roussos_2024/variant_figures/roussos_2024.childhood.Astrocyte/rs6503302_count_position.png",4,220,900)</f>
        <v/>
      </c>
      <c r="T1537">
        <f>IMAGE("https://mitra.stanford.edu/kundaje/oak/projects/neuro-variants/variant_position/credible/roussos_2024/variant_figures/roussos_2024.childhood.Astrocyte/rs6503302_profile_position.png",4,220,900)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-0.26931412</v>
      </c>
      <c r="G1538" t="n">
        <v>0.0081024013107445</v>
      </c>
      <c r="H1538" t="n">
        <v>0.0302860768644393</v>
      </c>
      <c r="I1538" t="n">
        <v>0.0311918586845378</v>
      </c>
      <c r="J1538" t="n">
        <v>0.4738613725355499</v>
      </c>
      <c r="K1538" t="n">
        <v>0.06323557777741071</v>
      </c>
      <c r="L1538" t="b">
        <v>1</v>
      </c>
      <c r="M1538" t="b">
        <v>1</v>
      </c>
      <c r="N1538" t="inlineStr">
        <is>
          <t>ref</t>
        </is>
      </c>
      <c r="O1538" t="n">
        <v>-20</v>
      </c>
      <c r="P1538" t="n">
        <v>0.007934999999999999</v>
      </c>
      <c r="Q1538" t="n">
        <v>-100</v>
      </c>
      <c r="R1538" t="n">
        <v>0.148</v>
      </c>
      <c r="S1538">
        <f>IMAGE("https://mitra.stanford.edu/kundaje/oak/projects/neuro-variants/variant_position/credible/roussos_2024/variant_figures/roussos_2024.childhood.Astrocyte/rs9910413_count_position.png",4,220,900)</f>
        <v/>
      </c>
      <c r="T1538">
        <f>IMAGE("https://mitra.stanford.edu/kundaje/oak/projects/neuro-variants/variant_position/credible/roussos_2024/variant_figures/roussos_2024.childhood.Astrocyte/rs9910413_profile_position.png",4,220,900)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-0.0667977129</v>
      </c>
      <c r="G1539" t="n">
        <v>0.1585896975357701</v>
      </c>
      <c r="H1539" t="n">
        <v>0.009737534340123</v>
      </c>
      <c r="I1539" t="n">
        <v>0.7163057742111191</v>
      </c>
      <c r="J1539" t="n">
        <v>0.4878462442658362</v>
      </c>
      <c r="K1539" t="n">
        <v>0.0591601935408824</v>
      </c>
      <c r="L1539" t="b">
        <v>0</v>
      </c>
      <c r="M1539" t="b">
        <v>0</v>
      </c>
      <c r="N1539" t="inlineStr">
        <is>
          <t>ref</t>
        </is>
      </c>
      <c r="O1539" t="n">
        <v>-25</v>
      </c>
      <c r="P1539" t="n">
        <v>0.004562</v>
      </c>
      <c r="Q1539" t="n">
        <v>-60</v>
      </c>
      <c r="R1539" t="n">
        <v>0.08740000000000001</v>
      </c>
      <c r="S1539">
        <f>IMAGE("https://mitra.stanford.edu/kundaje/oak/projects/neuro-variants/variant_position/credible/roussos_2024/variant_figures/roussos_2024.childhood.Astrocyte/rs7214741_count_position.png",4,220,900)</f>
        <v/>
      </c>
      <c r="T1539">
        <f>IMAGE("https://mitra.stanford.edu/kundaje/oak/projects/neuro-variants/variant_position/credible/roussos_2024/variant_figures/roussos_2024.childhood.Astrocyte/rs7214741_profile_position.png",4,220,900)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0.062870008</v>
      </c>
      <c r="G1540" t="n">
        <v>0.1573783333309652</v>
      </c>
      <c r="H1540" t="n">
        <v>0.0115346593473648</v>
      </c>
      <c r="I1540" t="n">
        <v>0.554723004157471</v>
      </c>
      <c r="J1540" t="n">
        <v>0.4563104424751742</v>
      </c>
      <c r="K1540" t="n">
        <v>0.0681907398917751</v>
      </c>
      <c r="L1540" t="b">
        <v>0</v>
      </c>
      <c r="M1540" t="b">
        <v>0</v>
      </c>
      <c r="N1540" t="inlineStr">
        <is>
          <t>alt</t>
        </is>
      </c>
      <c r="O1540" t="n">
        <v>-95</v>
      </c>
      <c r="P1540" t="n">
        <v>0.02634</v>
      </c>
      <c r="Q1540" t="n">
        <v>-100</v>
      </c>
      <c r="R1540" t="n">
        <v>0.1984</v>
      </c>
      <c r="S1540">
        <f>IMAGE("https://mitra.stanford.edu/kundaje/oak/projects/neuro-variants/variant_position/credible/roussos_2024/variant_figures/roussos_2024.childhood.Astrocyte/rs7223390_count_position.png",4,220,900)</f>
        <v/>
      </c>
      <c r="T1540">
        <f>IMAGE("https://mitra.stanford.edu/kundaje/oak/projects/neuro-variants/variant_position/credible/roussos_2024/variant_figures/roussos_2024.childhood.Astrocyte/rs7223390_profile_position.png",4,220,900)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0.1106473012</v>
      </c>
      <c r="G1541" t="n">
        <v>0.057333258297211</v>
      </c>
      <c r="H1541" t="n">
        <v>0.0160337246042923</v>
      </c>
      <c r="I1541" t="n">
        <v>0.247560322203893</v>
      </c>
      <c r="J1541" t="n">
        <v>0.0221000969369451</v>
      </c>
      <c r="K1541" t="n">
        <v>0.5807460442504404</v>
      </c>
      <c r="L1541" t="b">
        <v>0</v>
      </c>
      <c r="M1541" t="b">
        <v>0</v>
      </c>
      <c r="N1541" t="inlineStr">
        <is>
          <t>alt</t>
        </is>
      </c>
      <c r="O1541" t="n">
        <v>-100</v>
      </c>
      <c r="P1541" t="n">
        <v>0.01878</v>
      </c>
      <c r="Q1541" t="n">
        <v>-65</v>
      </c>
      <c r="R1541" t="n">
        <v>0.05554</v>
      </c>
      <c r="S1541">
        <f>IMAGE("https://mitra.stanford.edu/kundaje/oak/projects/neuro-variants/variant_position/credible/roussos_2024/variant_figures/roussos_2024.childhood.Astrocyte/rs57130712_count_position.png",4,220,900)</f>
        <v/>
      </c>
      <c r="T1541">
        <f>IMAGE("https://mitra.stanford.edu/kundaje/oak/projects/neuro-variants/variant_position/credible/roussos_2024/variant_figures/roussos_2024.childhood.Astrocyte/rs57130712_profile_position.png",4,220,900)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-0.00387143916</v>
      </c>
      <c r="G1542" t="n">
        <v>0.7581732591724413</v>
      </c>
      <c r="H1542" t="n">
        <v>0.008040239283719001</v>
      </c>
      <c r="I1542" t="n">
        <v>0.8989336989140417</v>
      </c>
      <c r="J1542" t="n">
        <v>0.06751849053147389</v>
      </c>
      <c r="K1542" t="n">
        <v>0.3942081024889869</v>
      </c>
      <c r="L1542" t="b">
        <v>0</v>
      </c>
      <c r="M1542" t="b">
        <v>0</v>
      </c>
      <c r="N1542" t="inlineStr">
        <is>
          <t>ref</t>
        </is>
      </c>
      <c r="O1542" t="n">
        <v>100</v>
      </c>
      <c r="P1542" t="n">
        <v>0.005177</v>
      </c>
      <c r="Q1542" t="n">
        <v>-20</v>
      </c>
      <c r="R1542" t="n">
        <v>0.02028</v>
      </c>
      <c r="S1542">
        <f>IMAGE("https://mitra.stanford.edu/kundaje/oak/projects/neuro-variants/variant_position/credible/roussos_2024/variant_figures/roussos_2024.childhood.Astrocyte/rs2270478_count_position.png",4,220,900)</f>
        <v/>
      </c>
      <c r="T1542">
        <f>IMAGE("https://mitra.stanford.edu/kundaje/oak/projects/neuro-variants/variant_position/credible/roussos_2024/variant_figures/roussos_2024.childhood.Astrocyte/rs2270478_profile_position.png",4,220,900)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-0.1193558385999999</v>
      </c>
      <c r="G1543" t="n">
        <v>0.0600466580041111</v>
      </c>
      <c r="H1543" t="n">
        <v>0.0156443861644369</v>
      </c>
      <c r="I1543" t="n">
        <v>0.2694878212843808</v>
      </c>
      <c r="J1543" t="n">
        <v>0.3066298764244769</v>
      </c>
      <c r="K1543" t="n">
        <v>0.1291320738222633</v>
      </c>
      <c r="L1543" t="b">
        <v>0</v>
      </c>
      <c r="M1543" t="b">
        <v>0</v>
      </c>
      <c r="N1543" t="inlineStr">
        <is>
          <t>ref</t>
        </is>
      </c>
      <c r="O1543" t="n">
        <v>65</v>
      </c>
      <c r="P1543" t="n">
        <v>0.02414</v>
      </c>
      <c r="Q1543" t="n">
        <v>60</v>
      </c>
      <c r="R1543" t="n">
        <v>0.11804</v>
      </c>
      <c r="S1543">
        <f>IMAGE("https://mitra.stanford.edu/kundaje/oak/projects/neuro-variants/variant_position/credible/roussos_2024/variant_figures/roussos_2024.childhood.Astrocyte/rs11867782_count_position.png",4,220,900)</f>
        <v/>
      </c>
      <c r="T1543">
        <f>IMAGE("https://mitra.stanford.edu/kundaje/oak/projects/neuro-variants/variant_position/credible/roussos_2024/variant_figures/roussos_2024.childhood.Astrocyte/rs11867782_profile_position.png",4,220,900)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0.0437383874</v>
      </c>
      <c r="G1544" t="n">
        <v>0.261588914856536</v>
      </c>
      <c r="H1544" t="n">
        <v>0.0115869501558597</v>
      </c>
      <c r="I1544" t="n">
        <v>0.5423162105521244</v>
      </c>
      <c r="J1544" t="n">
        <v>0.2483913810079915</v>
      </c>
      <c r="K1544" t="n">
        <v>0.1654576254589606</v>
      </c>
      <c r="L1544" t="b">
        <v>0</v>
      </c>
      <c r="M1544" t="b">
        <v>0</v>
      </c>
      <c r="N1544" t="inlineStr">
        <is>
          <t>alt</t>
        </is>
      </c>
      <c r="O1544" t="n">
        <v>-20</v>
      </c>
      <c r="P1544" t="n">
        <v>0.003649</v>
      </c>
      <c r="Q1544" t="n">
        <v>25</v>
      </c>
      <c r="R1544" t="n">
        <v>0.047</v>
      </c>
      <c r="S1544">
        <f>IMAGE("https://mitra.stanford.edu/kundaje/oak/projects/neuro-variants/variant_position/credible/roussos_2024/variant_figures/roussos_2024.childhood.Astrocyte/rs2126202_count_position.png",4,220,900)</f>
        <v/>
      </c>
      <c r="T1544">
        <f>IMAGE("https://mitra.stanford.edu/kundaje/oak/projects/neuro-variants/variant_position/credible/roussos_2024/variant_figures/roussos_2024.childhood.Astrocyte/rs2126202_profile_position.png",4,220,900)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0.0161050361</v>
      </c>
      <c r="G1545" t="n">
        <v>0.5268101400934142</v>
      </c>
      <c r="H1545" t="n">
        <v>0.0111277351823414</v>
      </c>
      <c r="I1545" t="n">
        <v>0.6011123083822477</v>
      </c>
      <c r="J1545" t="n">
        <v>0.004111805698671</v>
      </c>
      <c r="K1545" t="n">
        <v>0.8053134784207125</v>
      </c>
      <c r="L1545" t="b">
        <v>0</v>
      </c>
      <c r="M1545" t="b">
        <v>0</v>
      </c>
      <c r="N1545" t="inlineStr">
        <is>
          <t>alt</t>
        </is>
      </c>
      <c r="O1545" t="n">
        <v>70</v>
      </c>
      <c r="P1545" t="n">
        <v>0.002045</v>
      </c>
      <c r="Q1545" t="n">
        <v>75</v>
      </c>
      <c r="R1545" t="n">
        <v>0.0325</v>
      </c>
      <c r="S1545">
        <f>IMAGE("https://mitra.stanford.edu/kundaje/oak/projects/neuro-variants/variant_position/credible/roussos_2024/variant_figures/roussos_2024.childhood.Astrocyte/rs143499_count_position.png",4,220,900)</f>
        <v/>
      </c>
      <c r="T1545">
        <f>IMAGE("https://mitra.stanford.edu/kundaje/oak/projects/neuro-variants/variant_position/credible/roussos_2024/variant_figures/roussos_2024.childhood.Astrocyte/rs143499_profile_position.png",4,220,900)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-0.0225480624</v>
      </c>
      <c r="G1546" t="n">
        <v>0.4818294746135125</v>
      </c>
      <c r="H1546" t="n">
        <v>0.009942648318010699</v>
      </c>
      <c r="I1546" t="n">
        <v>0.7092661105509398</v>
      </c>
      <c r="J1546" t="n">
        <v>0.1253249677512918</v>
      </c>
      <c r="K1546" t="n">
        <v>0.2917856220053266</v>
      </c>
      <c r="L1546" t="b">
        <v>0</v>
      </c>
      <c r="M1546" t="b">
        <v>0</v>
      </c>
      <c r="N1546" t="inlineStr">
        <is>
          <t>ref</t>
        </is>
      </c>
      <c r="O1546" t="n">
        <v>-100</v>
      </c>
      <c r="P1546" t="n">
        <v>0.00962</v>
      </c>
      <c r="Q1546" t="n">
        <v>-90</v>
      </c>
      <c r="R1546" t="n">
        <v>0.03983</v>
      </c>
      <c r="S1546">
        <f>IMAGE("https://mitra.stanford.edu/kundaje/oak/projects/neuro-variants/variant_position/credible/roussos_2024/variant_figures/roussos_2024.childhood.Astrocyte/rs7212249_count_position.png",4,220,900)</f>
        <v/>
      </c>
      <c r="T1546">
        <f>IMAGE("https://mitra.stanford.edu/kundaje/oak/projects/neuro-variants/variant_position/credible/roussos_2024/variant_figures/roussos_2024.childhood.Astrocyte/rs7212249_profile_position.png",4,220,900)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0.0221967668999999</v>
      </c>
      <c r="G1547" t="n">
        <v>0.4771511625977191</v>
      </c>
      <c r="H1547" t="n">
        <v>0.0239197752016049</v>
      </c>
      <c r="I1547" t="n">
        <v>0.0707333261325067</v>
      </c>
      <c r="J1547" t="n">
        <v>0.0294596719409523</v>
      </c>
      <c r="K1547" t="n">
        <v>0.5383758082194133</v>
      </c>
      <c r="L1547" t="b">
        <v>0</v>
      </c>
      <c r="M1547" t="b">
        <v>0</v>
      </c>
      <c r="N1547" t="inlineStr">
        <is>
          <t>alt</t>
        </is>
      </c>
      <c r="O1547" t="n">
        <v>85</v>
      </c>
      <c r="P1547" t="n">
        <v>0.006947</v>
      </c>
      <c r="Q1547" t="n">
        <v>-65</v>
      </c>
      <c r="R1547" t="n">
        <v>0.1467</v>
      </c>
      <c r="S1547">
        <f>IMAGE("https://mitra.stanford.edu/kundaje/oak/projects/neuro-variants/variant_position/credible/roussos_2024/variant_figures/roussos_2024.childhood.Astrocyte/rs2169356_count_position.png",4,220,900)</f>
        <v/>
      </c>
      <c r="T1547">
        <f>IMAGE("https://mitra.stanford.edu/kundaje/oak/projects/neuro-variants/variant_position/credible/roussos_2024/variant_figures/roussos_2024.childhood.Astrocyte/rs2169356_profile_position.png",4,220,900)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0.1641887659999999</v>
      </c>
      <c r="G1548" t="n">
        <v>0.0283814428294481</v>
      </c>
      <c r="H1548" t="n">
        <v>0.0160351873596276</v>
      </c>
      <c r="I1548" t="n">
        <v>0.2570369837695209</v>
      </c>
      <c r="J1548" t="n">
        <v>0.2091036767343698</v>
      </c>
      <c r="K1548" t="n">
        <v>0.1921009928913916</v>
      </c>
      <c r="L1548" t="b">
        <v>0</v>
      </c>
      <c r="M1548" t="b">
        <v>0</v>
      </c>
      <c r="N1548" t="inlineStr">
        <is>
          <t>alt</t>
        </is>
      </c>
      <c r="O1548" t="n">
        <v>-100</v>
      </c>
      <c r="P1548" t="n">
        <v>0.006798</v>
      </c>
      <c r="Q1548" t="n">
        <v>-65</v>
      </c>
      <c r="R1548" t="n">
        <v>0.02051</v>
      </c>
      <c r="S1548">
        <f>IMAGE("https://mitra.stanford.edu/kundaje/oak/projects/neuro-variants/variant_position/credible/roussos_2024/variant_figures/roussos_2024.childhood.Astrocyte/rs216218_count_position.png",4,220,900)</f>
        <v/>
      </c>
      <c r="T1548">
        <f>IMAGE("https://mitra.stanford.edu/kundaje/oak/projects/neuro-variants/variant_position/credible/roussos_2024/variant_figures/roussos_2024.childhood.Astrocyte/rs216218_profile_position.png",4,220,900)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0.0203669792999999</v>
      </c>
      <c r="G1549" t="n">
        <v>0.5279794158432422</v>
      </c>
      <c r="H1549" t="n">
        <v>0.0224131032396611</v>
      </c>
      <c r="I1549" t="n">
        <v>0.0863827247344659</v>
      </c>
      <c r="J1549" t="n">
        <v>0.0129109325028813</v>
      </c>
      <c r="K1549" t="n">
        <v>0.6548084302632968</v>
      </c>
      <c r="L1549" t="b">
        <v>0</v>
      </c>
      <c r="M1549" t="b">
        <v>0</v>
      </c>
      <c r="N1549" t="inlineStr">
        <is>
          <t>alt</t>
        </is>
      </c>
      <c r="O1549" t="n">
        <v>35</v>
      </c>
      <c r="P1549" t="n">
        <v>0.02771</v>
      </c>
      <c r="Q1549" t="n">
        <v>35</v>
      </c>
      <c r="R1549" t="n">
        <v>0.06270000000000001</v>
      </c>
      <c r="S1549">
        <f>IMAGE("https://mitra.stanford.edu/kundaje/oak/projects/neuro-variants/variant_position/credible/roussos_2024/variant_figures/roussos_2024.childhood.Astrocyte/rs216224_count_position.png",4,220,900)</f>
        <v/>
      </c>
      <c r="T1549">
        <f>IMAGE("https://mitra.stanford.edu/kundaje/oak/projects/neuro-variants/variant_position/credible/roussos_2024/variant_figures/roussos_2024.childhood.Astrocyte/rs216224_profile_position.png",4,220,900)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0.01000913808</v>
      </c>
      <c r="G1550" t="n">
        <v>0.5374711619313246</v>
      </c>
      <c r="H1550" t="n">
        <v>0.0130779237169934</v>
      </c>
      <c r="I1550" t="n">
        <v>0.4219808137681041</v>
      </c>
      <c r="J1550" t="n">
        <v>0.0091891644340637</v>
      </c>
      <c r="K1550" t="n">
        <v>0.7054103481900912</v>
      </c>
      <c r="L1550" t="b">
        <v>0</v>
      </c>
      <c r="M1550" t="b">
        <v>0</v>
      </c>
      <c r="N1550" t="inlineStr">
        <is>
          <t>alt</t>
        </is>
      </c>
      <c r="O1550" t="n">
        <v>45</v>
      </c>
      <c r="P1550" t="n">
        <v>0.007076</v>
      </c>
      <c r="Q1550" t="n">
        <v>-100</v>
      </c>
      <c r="R1550" t="n">
        <v>0.044</v>
      </c>
      <c r="S1550">
        <f>IMAGE("https://mitra.stanford.edu/kundaje/oak/projects/neuro-variants/variant_position/credible/roussos_2024/variant_figures/roussos_2024.childhood.Astrocyte/rs12950555_count_position.png",4,220,900)</f>
        <v/>
      </c>
      <c r="T1550">
        <f>IMAGE("https://mitra.stanford.edu/kundaje/oak/projects/neuro-variants/variant_position/credible/roussos_2024/variant_figures/roussos_2024.childhood.Astrocyte/rs12950555_profile_position.png",4,220,900)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0.0327268804</v>
      </c>
      <c r="G1551" t="n">
        <v>0.3465400829380408</v>
      </c>
      <c r="H1551" t="n">
        <v>0.0505010778599958</v>
      </c>
      <c r="I1551" t="n">
        <v>0.0038534229754468</v>
      </c>
      <c r="J1551" t="n">
        <v>0.0146069474021661</v>
      </c>
      <c r="K1551" t="n">
        <v>0.6356036186013951</v>
      </c>
      <c r="L1551" t="b">
        <v>1</v>
      </c>
      <c r="M1551" t="b">
        <v>0</v>
      </c>
      <c r="N1551" t="inlineStr">
        <is>
          <t>alt</t>
        </is>
      </c>
      <c r="O1551" t="n">
        <v>70</v>
      </c>
      <c r="P1551" t="n">
        <v>0.0337</v>
      </c>
      <c r="Q1551" t="n">
        <v>15</v>
      </c>
      <c r="R1551" t="n">
        <v>0.0825</v>
      </c>
      <c r="S1551">
        <f>IMAGE("https://mitra.stanford.edu/kundaje/oak/projects/neuro-variants/variant_position/credible/roussos_2024/variant_figures/roussos_2024.childhood.Astrocyte/rs9891227_count_position.png",4,220,900)</f>
        <v/>
      </c>
      <c r="T1551">
        <f>IMAGE("https://mitra.stanford.edu/kundaje/oak/projects/neuro-variants/variant_position/credible/roussos_2024/variant_figures/roussos_2024.childhood.Astrocyte/rs9891227_profile_position.png",4,220,900)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-0.3260213</v>
      </c>
      <c r="G1552" t="n">
        <v>0.004595089996144</v>
      </c>
      <c r="H1552" t="n">
        <v>0.0447268172370548</v>
      </c>
      <c r="I1552" t="n">
        <v>0.006890429037495</v>
      </c>
      <c r="J1552" t="n">
        <v>0.0443986474624655</v>
      </c>
      <c r="K1552" t="n">
        <v>0.4733015110187056</v>
      </c>
      <c r="L1552" t="b">
        <v>1</v>
      </c>
      <c r="M1552" t="b">
        <v>1</v>
      </c>
      <c r="N1552" t="inlineStr">
        <is>
          <t>ref</t>
        </is>
      </c>
      <c r="O1552" t="n">
        <v>100</v>
      </c>
      <c r="P1552" t="n">
        <v>0.00831</v>
      </c>
      <c r="Q1552" t="n">
        <v>-100</v>
      </c>
      <c r="R1552" t="n">
        <v>0.1594</v>
      </c>
      <c r="S1552">
        <f>IMAGE("https://mitra.stanford.edu/kundaje/oak/projects/neuro-variants/variant_position/credible/roussos_2024/variant_figures/roussos_2024.childhood.Astrocyte/rs216176_count_position.png",4,220,900)</f>
        <v/>
      </c>
      <c r="T1552">
        <f>IMAGE("https://mitra.stanford.edu/kundaje/oak/projects/neuro-variants/variant_position/credible/roussos_2024/variant_figures/roussos_2024.childhood.Astrocyte/rs216176_profile_position.png",4,220,900)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0.0064269990599999</v>
      </c>
      <c r="G1553" t="n">
        <v>0.5581614599601478</v>
      </c>
      <c r="H1553" t="n">
        <v>0.0103471202859869</v>
      </c>
      <c r="I1553" t="n">
        <v>0.6763792414753724</v>
      </c>
      <c r="J1553" t="n">
        <v>0.0468976361124468</v>
      </c>
      <c r="K1553" t="n">
        <v>0.4619907952769849</v>
      </c>
      <c r="L1553" t="b">
        <v>0</v>
      </c>
      <c r="M1553" t="b">
        <v>0</v>
      </c>
      <c r="N1553" t="inlineStr">
        <is>
          <t>alt</t>
        </is>
      </c>
      <c r="O1553" t="n">
        <v>100</v>
      </c>
      <c r="P1553" t="n">
        <v>0.1294</v>
      </c>
      <c r="Q1553" t="n">
        <v>100</v>
      </c>
      <c r="R1553" t="n">
        <v>0.1498</v>
      </c>
      <c r="S1553">
        <f>IMAGE("https://mitra.stanford.edu/kundaje/oak/projects/neuro-variants/variant_position/credible/roussos_2024/variant_figures/roussos_2024.childhood.Astrocyte/rs1122645_count_position.png",4,220,900)</f>
        <v/>
      </c>
      <c r="T1553">
        <f>IMAGE("https://mitra.stanford.edu/kundaje/oak/projects/neuro-variants/variant_position/credible/roussos_2024/variant_figures/roussos_2024.childhood.Astrocyte/rs1122645_profile_position.png",4,220,900)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0.0915643604</v>
      </c>
      <c r="G1554" t="n">
        <v>0.09747151113758699</v>
      </c>
      <c r="H1554" t="n">
        <v>0.0181881235764476</v>
      </c>
      <c r="I1554" t="n">
        <v>0.1870773866454364</v>
      </c>
      <c r="J1554" t="n">
        <v>0.0143291123781608</v>
      </c>
      <c r="K1554" t="n">
        <v>0.649993354712923</v>
      </c>
      <c r="L1554" t="b">
        <v>0</v>
      </c>
      <c r="M1554" t="b">
        <v>0</v>
      </c>
      <c r="N1554" t="inlineStr">
        <is>
          <t>alt</t>
        </is>
      </c>
      <c r="O1554" t="n">
        <v>0</v>
      </c>
      <c r="P1554" t="n">
        <v>0</v>
      </c>
      <c r="Q1554" t="n">
        <v>30</v>
      </c>
      <c r="R1554" t="n">
        <v>0.0368</v>
      </c>
      <c r="S1554">
        <f>IMAGE("https://mitra.stanford.edu/kundaje/oak/projects/neuro-variants/variant_position/credible/roussos_2024/variant_figures/roussos_2024.childhood.Astrocyte/rs11869805_count_position.png",4,220,900)</f>
        <v/>
      </c>
      <c r="T1554">
        <f>IMAGE("https://mitra.stanford.edu/kundaje/oak/projects/neuro-variants/variant_position/credible/roussos_2024/variant_figures/roussos_2024.childhood.Astrocyte/rs11869805_profile_position.png",4,220,900)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0.10139975</v>
      </c>
      <c r="G1555" t="n">
        <v>0.066944772360891</v>
      </c>
      <c r="H1555" t="n">
        <v>0.0151908162238177</v>
      </c>
      <c r="I1555" t="n">
        <v>0.2890816167516561</v>
      </c>
      <c r="J1555" t="n">
        <v>0.0159770404463678</v>
      </c>
      <c r="K1555" t="n">
        <v>0.6378461338238575</v>
      </c>
      <c r="L1555" t="b">
        <v>0</v>
      </c>
      <c r="M1555" t="b">
        <v>0</v>
      </c>
      <c r="N1555" t="inlineStr">
        <is>
          <t>alt</t>
        </is>
      </c>
      <c r="O1555" t="n">
        <v>15</v>
      </c>
      <c r="P1555" t="n">
        <v>0.01494</v>
      </c>
      <c r="Q1555" t="n">
        <v>10</v>
      </c>
      <c r="R1555" t="n">
        <v>0.0249</v>
      </c>
      <c r="S1555">
        <f>IMAGE("https://mitra.stanford.edu/kundaje/oak/projects/neuro-variants/variant_position/credible/roussos_2024/variant_figures/roussos_2024.childhood.Astrocyte/rs6502155_count_position.png",4,220,900)</f>
        <v/>
      </c>
      <c r="T1555">
        <f>IMAGE("https://mitra.stanford.edu/kundaje/oak/projects/neuro-variants/variant_position/credible/roussos_2024/variant_figures/roussos_2024.childhood.Astrocyte/rs6502155_profile_position.png",4,220,900)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-0.0335720776</v>
      </c>
      <c r="G1556" t="n">
        <v>0.1327968869894122</v>
      </c>
      <c r="H1556" t="n">
        <v>0.0160419955464919</v>
      </c>
      <c r="I1556" t="n">
        <v>0.260568634991432</v>
      </c>
      <c r="J1556" t="n">
        <v>0.202299771778373</v>
      </c>
      <c r="K1556" t="n">
        <v>0.1989278809186304</v>
      </c>
      <c r="L1556" t="b">
        <v>0</v>
      </c>
      <c r="M1556" t="b">
        <v>0</v>
      </c>
      <c r="N1556" t="inlineStr">
        <is>
          <t>ref</t>
        </is>
      </c>
      <c r="O1556" t="n">
        <v>50</v>
      </c>
      <c r="P1556" t="n">
        <v>0.01089</v>
      </c>
      <c r="Q1556" t="n">
        <v>-85</v>
      </c>
      <c r="R1556" t="n">
        <v>0.2559</v>
      </c>
      <c r="S1556">
        <f>IMAGE("https://mitra.stanford.edu/kundaje/oak/projects/neuro-variants/variant_position/credible/roussos_2024/variant_figures/roussos_2024.childhood.Astrocyte/rs749240_count_position.png",4,220,900)</f>
        <v/>
      </c>
      <c r="T1556">
        <f>IMAGE("https://mitra.stanford.edu/kundaje/oak/projects/neuro-variants/variant_position/credible/roussos_2024/variant_figures/roussos_2024.childhood.Astrocyte/rs749240_profile_position.png",4,220,900)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0.1530347292</v>
      </c>
      <c r="G1557" t="n">
        <v>0.0307723884519091</v>
      </c>
      <c r="H1557" t="n">
        <v>0.0266195033288398</v>
      </c>
      <c r="I1557" t="n">
        <v>0.0477216359932122</v>
      </c>
      <c r="J1557" t="n">
        <v>0.0361612969705296</v>
      </c>
      <c r="K1557" t="n">
        <v>0.5205938714247424</v>
      </c>
      <c r="L1557" t="b">
        <v>0</v>
      </c>
      <c r="M1557" t="b">
        <v>0</v>
      </c>
      <c r="N1557" t="inlineStr">
        <is>
          <t>alt</t>
        </is>
      </c>
      <c r="O1557" t="n">
        <v>20</v>
      </c>
      <c r="P1557" t="n">
        <v>0.00482</v>
      </c>
      <c r="Q1557" t="n">
        <v>15</v>
      </c>
      <c r="R1557" t="n">
        <v>0.0475</v>
      </c>
      <c r="S1557">
        <f>IMAGE("https://mitra.stanford.edu/kundaje/oak/projects/neuro-variants/variant_position/credible/roussos_2024/variant_figures/roussos_2024.childhood.Astrocyte/rs410378_count_position.png",4,220,900)</f>
        <v/>
      </c>
      <c r="T1557">
        <f>IMAGE("https://mitra.stanford.edu/kundaje/oak/projects/neuro-variants/variant_position/credible/roussos_2024/variant_figures/roussos_2024.childhood.Astrocyte/rs410378_profile_position.png",4,220,900)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-0.0153634158</v>
      </c>
      <c r="G1558" t="n">
        <v>0.4978678393746996</v>
      </c>
      <c r="H1558" t="n">
        <v>0.0120235915221952</v>
      </c>
      <c r="I1558" t="n">
        <v>0.5022958663723416</v>
      </c>
      <c r="J1558" t="n">
        <v>0.0068596246174043</v>
      </c>
      <c r="K1558" t="n">
        <v>0.7348440578959705</v>
      </c>
      <c r="L1558" t="b">
        <v>0</v>
      </c>
      <c r="M1558" t="b">
        <v>0</v>
      </c>
      <c r="N1558" t="inlineStr">
        <is>
          <t>ref</t>
        </is>
      </c>
      <c r="O1558" t="n">
        <v>-5</v>
      </c>
      <c r="P1558" t="n">
        <v>0.0004425</v>
      </c>
      <c r="Q1558" t="n">
        <v>-75</v>
      </c>
      <c r="R1558" t="n">
        <v>0.1271</v>
      </c>
      <c r="S1558">
        <f>IMAGE("https://mitra.stanford.edu/kundaje/oak/projects/neuro-variants/variant_position/credible/roussos_2024/variant_figures/roussos_2024.childhood.Astrocyte/rs216202_count_position.png",4,220,900)</f>
        <v/>
      </c>
      <c r="T1558">
        <f>IMAGE("https://mitra.stanford.edu/kundaje/oak/projects/neuro-variants/variant_position/credible/roussos_2024/variant_figures/roussos_2024.childhood.Astrocyte/rs216202_profile_position.png",4,220,900)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-0.0728109386</v>
      </c>
      <c r="G1559" t="n">
        <v>0.132942051335538</v>
      </c>
      <c r="H1559" t="n">
        <v>0.0129991642053632</v>
      </c>
      <c r="I1559" t="n">
        <v>0.434172432570466</v>
      </c>
      <c r="J1559" t="n">
        <v>0.0386114355064</v>
      </c>
      <c r="K1559" t="n">
        <v>0.4942268127501992</v>
      </c>
      <c r="L1559" t="b">
        <v>0</v>
      </c>
      <c r="M1559" t="b">
        <v>0</v>
      </c>
      <c r="N1559" t="inlineStr">
        <is>
          <t>ref</t>
        </is>
      </c>
      <c r="O1559" t="n">
        <v>-85</v>
      </c>
      <c r="P1559" t="n">
        <v>0.0621</v>
      </c>
      <c r="Q1559" t="n">
        <v>-100</v>
      </c>
      <c r="R1559" t="n">
        <v>0.1965</v>
      </c>
      <c r="S1559">
        <f>IMAGE("https://mitra.stanford.edu/kundaje/oak/projects/neuro-variants/variant_position/credible/roussos_2024/variant_figures/roussos_2024.childhood.Astrocyte/rs216201_count_position.png",4,220,900)</f>
        <v/>
      </c>
      <c r="T1559">
        <f>IMAGE("https://mitra.stanford.edu/kundaje/oak/projects/neuro-variants/variant_position/credible/roussos_2024/variant_figures/roussos_2024.childhood.Astrocyte/rs216201_profile_position.png",4,220,900)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-0.0325919334</v>
      </c>
      <c r="G1560" t="n">
        <v>0.3686897070546275</v>
      </c>
      <c r="H1560" t="n">
        <v>0.0135814371100828</v>
      </c>
      <c r="I1560" t="n">
        <v>0.3833726107502083</v>
      </c>
      <c r="J1560" t="n">
        <v>0.0117911962934975</v>
      </c>
      <c r="K1560" t="n">
        <v>0.6720831431272799</v>
      </c>
      <c r="L1560" t="b">
        <v>0</v>
      </c>
      <c r="M1560" t="b">
        <v>0</v>
      </c>
      <c r="N1560" t="inlineStr">
        <is>
          <t>ref</t>
        </is>
      </c>
      <c r="O1560" t="n">
        <v>15</v>
      </c>
      <c r="P1560" t="n">
        <v>0.000965</v>
      </c>
      <c r="Q1560" t="n">
        <v>-80</v>
      </c>
      <c r="R1560" t="n">
        <v>0.10455</v>
      </c>
      <c r="S1560">
        <f>IMAGE("https://mitra.stanford.edu/kundaje/oak/projects/neuro-variants/variant_position/credible/roussos_2024/variant_figures/roussos_2024.childhood.Astrocyte/rs394752_count_position.png",4,220,900)</f>
        <v/>
      </c>
      <c r="T1560">
        <f>IMAGE("https://mitra.stanford.edu/kundaje/oak/projects/neuro-variants/variant_position/credible/roussos_2024/variant_figures/roussos_2024.childhood.Astrocyte/rs394752_profile_position.png",4,220,900)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-0.009229152906</v>
      </c>
      <c r="G1561" t="n">
        <v>0.576936159275802</v>
      </c>
      <c r="H1561" t="n">
        <v>0.0135660715810679</v>
      </c>
      <c r="I1561" t="n">
        <v>0.3890780278672803</v>
      </c>
      <c r="J1561" t="n">
        <v>0.0331669376321433</v>
      </c>
      <c r="K1561" t="n">
        <v>0.5121279857209436</v>
      </c>
      <c r="L1561" t="b">
        <v>0</v>
      </c>
      <c r="M1561" t="b">
        <v>0</v>
      </c>
      <c r="N1561" t="inlineStr">
        <is>
          <t>ref</t>
        </is>
      </c>
      <c r="O1561" t="n">
        <v>25</v>
      </c>
      <c r="P1561" t="n">
        <v>0.007934999999999999</v>
      </c>
      <c r="Q1561" t="n">
        <v>100</v>
      </c>
      <c r="R1561" t="n">
        <v>0.1519</v>
      </c>
      <c r="S1561">
        <f>IMAGE("https://mitra.stanford.edu/kundaje/oak/projects/neuro-variants/variant_position/credible/roussos_2024/variant_figures/roussos_2024.childhood.Astrocyte/rs216197_count_position.png",4,220,900)</f>
        <v/>
      </c>
      <c r="T1561">
        <f>IMAGE("https://mitra.stanford.edu/kundaje/oak/projects/neuro-variants/variant_position/credible/roussos_2024/variant_figures/roussos_2024.childhood.Astrocyte/rs216197_profile_position.png",4,220,900)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0.03006182384</v>
      </c>
      <c r="G1562" t="n">
        <v>0.4046939082355369</v>
      </c>
      <c r="H1562" t="n">
        <v>0.009848631802014099</v>
      </c>
      <c r="I1562" t="n">
        <v>0.729645464326695</v>
      </c>
      <c r="J1562" t="n">
        <v>0.4792135131628159</v>
      </c>
      <c r="K1562" t="n">
        <v>0.0617674307148086</v>
      </c>
      <c r="L1562" t="b">
        <v>0</v>
      </c>
      <c r="M1562" t="b">
        <v>0</v>
      </c>
      <c r="N1562" t="inlineStr">
        <is>
          <t>alt</t>
        </is>
      </c>
      <c r="O1562" t="n">
        <v>-40</v>
      </c>
      <c r="P1562" t="n">
        <v>0.003801</v>
      </c>
      <c r="Q1562" t="n">
        <v>5</v>
      </c>
      <c r="R1562" t="n">
        <v>0.006744</v>
      </c>
      <c r="S1562">
        <f>IMAGE("https://mitra.stanford.edu/kundaje/oak/projects/neuro-variants/variant_position/credible/roussos_2024/variant_figures/roussos_2024.childhood.Astrocyte/rs216196_count_position.png",4,220,900)</f>
        <v/>
      </c>
      <c r="T1562">
        <f>IMAGE("https://mitra.stanford.edu/kundaje/oak/projects/neuro-variants/variant_position/credible/roussos_2024/variant_figures/roussos_2024.childhood.Astrocyte/rs216196_profile_position.png",4,220,900)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0.0443855629999999</v>
      </c>
      <c r="G1563" t="n">
        <v>0.2412722436119558</v>
      </c>
      <c r="H1563" t="n">
        <v>0.0234374432120354</v>
      </c>
      <c r="I1563" t="n">
        <v>0.07425735023818771</v>
      </c>
      <c r="J1563" t="n">
        <v>0.3279033378367032</v>
      </c>
      <c r="K1563" t="n">
        <v>0.1178712822611499</v>
      </c>
      <c r="L1563" t="b">
        <v>0</v>
      </c>
      <c r="M1563" t="b">
        <v>0</v>
      </c>
      <c r="N1563" t="inlineStr">
        <is>
          <t>alt</t>
        </is>
      </c>
      <c r="O1563" t="n">
        <v>35</v>
      </c>
      <c r="P1563" t="n">
        <v>0.003342</v>
      </c>
      <c r="Q1563" t="n">
        <v>100</v>
      </c>
      <c r="R1563" t="n">
        <v>0.1001</v>
      </c>
      <c r="S1563">
        <f>IMAGE("https://mitra.stanford.edu/kundaje/oak/projects/neuro-variants/variant_position/credible/roussos_2024/variant_figures/roussos_2024.childhood.Astrocyte/rs2224770_count_position.png",4,220,900)</f>
        <v/>
      </c>
      <c r="T1563">
        <f>IMAGE("https://mitra.stanford.edu/kundaje/oak/projects/neuro-variants/variant_position/credible/roussos_2024/variant_figures/roussos_2024.childhood.Astrocyte/rs2224770_profile_position.png",4,220,900)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0.0678208914</v>
      </c>
      <c r="G1564" t="n">
        <v>0.1410310004307202</v>
      </c>
      <c r="H1564" t="n">
        <v>0.0109034391885038</v>
      </c>
      <c r="I1564" t="n">
        <v>0.6177885731959889</v>
      </c>
      <c r="J1564" t="n">
        <v>0.010656957706487</v>
      </c>
      <c r="K1564" t="n">
        <v>0.6804420960154788</v>
      </c>
      <c r="L1564" t="b">
        <v>0</v>
      </c>
      <c r="M1564" t="b">
        <v>0</v>
      </c>
      <c r="N1564" t="inlineStr">
        <is>
          <t>alt</t>
        </is>
      </c>
      <c r="O1564" t="n">
        <v>65</v>
      </c>
      <c r="P1564" t="n">
        <v>0.007393</v>
      </c>
      <c r="Q1564" t="n">
        <v>60</v>
      </c>
      <c r="R1564" t="n">
        <v>0.012115</v>
      </c>
      <c r="S1564">
        <f>IMAGE("https://mitra.stanford.edu/kundaje/oak/projects/neuro-variants/variant_position/credible/roussos_2024/variant_figures/roussos_2024.childhood.Astrocyte/rs391300_count_position.png",4,220,900)</f>
        <v/>
      </c>
      <c r="T1564">
        <f>IMAGE("https://mitra.stanford.edu/kundaje/oak/projects/neuro-variants/variant_position/credible/roussos_2024/variant_figures/roussos_2024.childhood.Astrocyte/rs391300_profile_position.png",4,220,900)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0.0015573379799999</v>
      </c>
      <c r="G1565" t="n">
        <v>0.850815395825448</v>
      </c>
      <c r="H1565" t="n">
        <v>0.0070010487696818</v>
      </c>
      <c r="I1565" t="n">
        <v>0.9590857538291871</v>
      </c>
      <c r="J1565" t="n">
        <v>0.0105188034775174</v>
      </c>
      <c r="K1565" t="n">
        <v>0.6903515648808255</v>
      </c>
      <c r="L1565" t="b">
        <v>0</v>
      </c>
      <c r="M1565" t="b">
        <v>0</v>
      </c>
      <c r="N1565" t="inlineStr">
        <is>
          <t>alt</t>
        </is>
      </c>
      <c r="O1565" t="n">
        <v>-15</v>
      </c>
      <c r="P1565" t="n">
        <v>0.0028</v>
      </c>
      <c r="Q1565" t="n">
        <v>15</v>
      </c>
      <c r="R1565" t="n">
        <v>0.06335</v>
      </c>
      <c r="S1565">
        <f>IMAGE("https://mitra.stanford.edu/kundaje/oak/projects/neuro-variants/variant_position/credible/roussos_2024/variant_figures/roussos_2024.childhood.Astrocyte/rs28756069_count_position.png",4,220,900)</f>
        <v/>
      </c>
      <c r="T1565">
        <f>IMAGE("https://mitra.stanford.edu/kundaje/oak/projects/neuro-variants/variant_position/credible/roussos_2024/variant_figures/roussos_2024.childhood.Astrocyte/rs28756069_profile_position.png",4,220,900)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0.0067271751599999</v>
      </c>
      <c r="G1566" t="n">
        <v>0.7432196722803094</v>
      </c>
      <c r="H1566" t="n">
        <v>0.0323751920124191</v>
      </c>
      <c r="I1566" t="n">
        <v>0.0218792183838797</v>
      </c>
      <c r="J1566" t="n">
        <v>0.0037790142962911</v>
      </c>
      <c r="K1566" t="n">
        <v>0.8031605136077665</v>
      </c>
      <c r="L1566" t="b">
        <v>0</v>
      </c>
      <c r="M1566" t="b">
        <v>0</v>
      </c>
      <c r="N1566" t="inlineStr">
        <is>
          <t>alt</t>
        </is>
      </c>
      <c r="O1566" t="n">
        <v>-10</v>
      </c>
      <c r="P1566" t="n">
        <v>0.001476</v>
      </c>
      <c r="Q1566" t="n">
        <v>95</v>
      </c>
      <c r="R1566" t="n">
        <v>0.1342</v>
      </c>
      <c r="S1566">
        <f>IMAGE("https://mitra.stanford.edu/kundaje/oak/projects/neuro-variants/variant_position/credible/roussos_2024/variant_figures/roussos_2024.childhood.Astrocyte/rs9913489_count_position.png",4,220,900)</f>
        <v/>
      </c>
      <c r="T1566">
        <f>IMAGE("https://mitra.stanford.edu/kundaje/oak/projects/neuro-variants/variant_position/credible/roussos_2024/variant_figures/roussos_2024.childhood.Astrocyte/rs9913489_profile_position.png",4,220,900)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0.0550699696</v>
      </c>
      <c r="G1567" t="n">
        <v>0.1823127441577281</v>
      </c>
      <c r="H1567" t="n">
        <v>0.0136184865410931</v>
      </c>
      <c r="I1567" t="n">
        <v>0.3846086437311732</v>
      </c>
      <c r="J1567" t="n">
        <v>0.0065985818201246</v>
      </c>
      <c r="K1567" t="n">
        <v>0.7405891756222935</v>
      </c>
      <c r="L1567" t="b">
        <v>0</v>
      </c>
      <c r="M1567" t="b">
        <v>0</v>
      </c>
      <c r="N1567" t="inlineStr">
        <is>
          <t>alt</t>
        </is>
      </c>
      <c r="O1567" t="n">
        <v>-35</v>
      </c>
      <c r="P1567" t="n">
        <v>0.015526</v>
      </c>
      <c r="Q1567" t="n">
        <v>100</v>
      </c>
      <c r="R1567" t="n">
        <v>0.0769</v>
      </c>
      <c r="S1567">
        <f>IMAGE("https://mitra.stanford.edu/kundaje/oak/projects/neuro-variants/variant_position/credible/roussos_2024/variant_figures/roussos_2024.childhood.Astrocyte/rs11868068_count_position.png",4,220,900)</f>
        <v/>
      </c>
      <c r="T1567">
        <f>IMAGE("https://mitra.stanford.edu/kundaje/oak/projects/neuro-variants/variant_position/credible/roussos_2024/variant_figures/roussos_2024.childhood.Astrocyte/rs11868068_profile_position.png",4,220,900)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0.0304457299999999</v>
      </c>
      <c r="G1568" t="n">
        <v>0.3819437122760897</v>
      </c>
      <c r="H1568" t="n">
        <v>0.034385895835013</v>
      </c>
      <c r="I1568" t="n">
        <v>0.017455940370726</v>
      </c>
      <c r="J1568" t="n">
        <v>0.0485791486341049</v>
      </c>
      <c r="K1568" t="n">
        <v>0.4545608095995616</v>
      </c>
      <c r="L1568" t="b">
        <v>1</v>
      </c>
      <c r="M1568" t="b">
        <v>0</v>
      </c>
      <c r="N1568" t="inlineStr">
        <is>
          <t>alt</t>
        </is>
      </c>
      <c r="O1568" t="n">
        <v>75</v>
      </c>
      <c r="P1568" t="n">
        <v>0.00417</v>
      </c>
      <c r="Q1568" t="n">
        <v>50</v>
      </c>
      <c r="R1568" t="n">
        <v>0.1148</v>
      </c>
      <c r="S1568">
        <f>IMAGE("https://mitra.stanford.edu/kundaje/oak/projects/neuro-variants/variant_position/credible/roussos_2024/variant_figures/roussos_2024.childhood.Astrocyte/rs1866175_count_position.png",4,220,900)</f>
        <v/>
      </c>
      <c r="T1568">
        <f>IMAGE("https://mitra.stanford.edu/kundaje/oak/projects/neuro-variants/variant_position/credible/roussos_2024/variant_figures/roussos_2024.childhood.Astrocyte/rs1866175_profile_position.png",4,220,900)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-0.054466659692</v>
      </c>
      <c r="G1569" t="n">
        <v>0.1983834650401102</v>
      </c>
      <c r="H1569" t="n">
        <v>0.0130073356739136</v>
      </c>
      <c r="I1569" t="n">
        <v>0.4329838042594042</v>
      </c>
      <c r="J1569" t="n">
        <v>0.0454298428400234</v>
      </c>
      <c r="K1569" t="n">
        <v>0.4684090953831069</v>
      </c>
      <c r="L1569" t="b">
        <v>0</v>
      </c>
      <c r="M1569" t="b">
        <v>0</v>
      </c>
      <c r="N1569" t="inlineStr">
        <is>
          <t>ref</t>
        </is>
      </c>
      <c r="O1569" t="n">
        <v>-100</v>
      </c>
      <c r="P1569" t="n">
        <v>0.00758</v>
      </c>
      <c r="Q1569" t="n">
        <v>-90</v>
      </c>
      <c r="R1569" t="n">
        <v>0.0725</v>
      </c>
      <c r="S1569">
        <f>IMAGE("https://mitra.stanford.edu/kundaje/oak/projects/neuro-variants/variant_position/credible/roussos_2024/variant_figures/roussos_2024.childhood.Astrocyte/rs9303185_count_position.png",4,220,900)</f>
        <v/>
      </c>
      <c r="T1569">
        <f>IMAGE("https://mitra.stanford.edu/kundaje/oak/projects/neuro-variants/variant_position/credible/roussos_2024/variant_figures/roussos_2024.childhood.Astrocyte/rs9303185_profile_position.png",4,220,900)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-0.0973361636</v>
      </c>
      <c r="G1570" t="n">
        <v>0.07370895472743449</v>
      </c>
      <c r="H1570" t="n">
        <v>0.0119969382872323</v>
      </c>
      <c r="I1570" t="n">
        <v>0.5164813948393243</v>
      </c>
      <c r="J1570" t="n">
        <v>0.0334768305435338</v>
      </c>
      <c r="K1570" t="n">
        <v>0.525413278554</v>
      </c>
      <c r="L1570" t="b">
        <v>0</v>
      </c>
      <c r="M1570" t="b">
        <v>0</v>
      </c>
      <c r="N1570" t="inlineStr">
        <is>
          <t>ref</t>
        </is>
      </c>
      <c r="O1570" t="n">
        <v>-100</v>
      </c>
      <c r="P1570" t="n">
        <v>0.001602</v>
      </c>
      <c r="Q1570" t="n">
        <v>-100</v>
      </c>
      <c r="R1570" t="n">
        <v>0.241</v>
      </c>
      <c r="S1570">
        <f>IMAGE("https://mitra.stanford.edu/kundaje/oak/projects/neuro-variants/variant_position/credible/roussos_2024/variant_figures/roussos_2024.childhood.Astrocyte/rs4456561_count_position.png",4,220,900)</f>
        <v/>
      </c>
      <c r="T1570">
        <f>IMAGE("https://mitra.stanford.edu/kundaje/oak/projects/neuro-variants/variant_position/credible/roussos_2024/variant_figures/roussos_2024.childhood.Astrocyte/rs4456561_profile_position.png",4,220,900)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0.0461174778</v>
      </c>
      <c r="G1571" t="n">
        <v>0.2403178808992228</v>
      </c>
      <c r="H1571" t="n">
        <v>0.0126716666528178</v>
      </c>
      <c r="I1571" t="n">
        <v>0.4498780598623661</v>
      </c>
      <c r="J1571" t="n">
        <v>0.0042995733247845</v>
      </c>
      <c r="K1571" t="n">
        <v>0.7987389398132477</v>
      </c>
      <c r="L1571" t="b">
        <v>0</v>
      </c>
      <c r="M1571" t="b">
        <v>0</v>
      </c>
      <c r="N1571" t="inlineStr">
        <is>
          <t>alt</t>
        </is>
      </c>
      <c r="O1571" t="n">
        <v>-70</v>
      </c>
      <c r="P1571" t="n">
        <v>0.00496</v>
      </c>
      <c r="Q1571" t="n">
        <v>15</v>
      </c>
      <c r="R1571" t="n">
        <v>0.04565</v>
      </c>
      <c r="S1571">
        <f>IMAGE("https://mitra.stanford.edu/kundaje/oak/projects/neuro-variants/variant_position/credible/roussos_2024/variant_figures/roussos_2024.childhood.Astrocyte/rs34499321_count_position.png",4,220,900)</f>
        <v/>
      </c>
      <c r="T1571">
        <f>IMAGE("https://mitra.stanford.edu/kundaje/oak/projects/neuro-variants/variant_position/credible/roussos_2024/variant_figures/roussos_2024.childhood.Astrocyte/rs34499321_profile_position.png",4,220,900)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0.07337592579999989</v>
      </c>
      <c r="G1572" t="n">
        <v>0.1171049658866583</v>
      </c>
      <c r="H1572" t="n">
        <v>0.0121556608162533</v>
      </c>
      <c r="I1572" t="n">
        <v>0.502471343153156</v>
      </c>
      <c r="J1572" t="n">
        <v>0.0118866066726202</v>
      </c>
      <c r="K1572" t="n">
        <v>0.6807679261142729</v>
      </c>
      <c r="L1572" t="b">
        <v>0</v>
      </c>
      <c r="M1572" t="b">
        <v>0</v>
      </c>
      <c r="N1572" t="inlineStr">
        <is>
          <t>alt</t>
        </is>
      </c>
      <c r="O1572" t="n">
        <v>80</v>
      </c>
      <c r="P1572" t="n">
        <v>0.04984</v>
      </c>
      <c r="Q1572" t="n">
        <v>40</v>
      </c>
      <c r="R1572" t="n">
        <v>0.1185</v>
      </c>
      <c r="S1572">
        <f>IMAGE("https://mitra.stanford.edu/kundaje/oak/projects/neuro-variants/variant_position/credible/roussos_2024/variant_figures/roussos_2024.childhood.Astrocyte/rs35513053_count_position.png",4,220,900)</f>
        <v/>
      </c>
      <c r="T1572">
        <f>IMAGE("https://mitra.stanford.edu/kundaje/oak/projects/neuro-variants/variant_position/credible/roussos_2024/variant_figures/roussos_2024.childhood.Astrocyte/rs35513053_profile_position.png",4,220,900)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-0.1299328128</v>
      </c>
      <c r="G1573" t="n">
        <v>0.0495777848992006</v>
      </c>
      <c r="H1573" t="n">
        <v>0.0206202549806382</v>
      </c>
      <c r="I1573" t="n">
        <v>0.1153873734219416</v>
      </c>
      <c r="J1573" t="n">
        <v>0.9772953829009332</v>
      </c>
      <c r="K1573" t="n">
        <v>3.72235819999112e-05</v>
      </c>
      <c r="L1573" t="b">
        <v>0</v>
      </c>
      <c r="M1573" t="b">
        <v>0</v>
      </c>
      <c r="N1573" t="inlineStr">
        <is>
          <t>ref</t>
        </is>
      </c>
      <c r="O1573" t="n">
        <v>-80</v>
      </c>
      <c r="P1573" t="n">
        <v>0.007214</v>
      </c>
      <c r="Q1573" t="n">
        <v>15</v>
      </c>
      <c r="R1573" t="n">
        <v>0.0586</v>
      </c>
      <c r="S1573">
        <f>IMAGE("https://mitra.stanford.edu/kundaje/oak/projects/neuro-variants/variant_position/credible/roussos_2024/variant_figures/roussos_2024.childhood.Astrocyte/rs76655185_count_position.png",4,220,900)</f>
        <v/>
      </c>
      <c r="T1573">
        <f>IMAGE("https://mitra.stanford.edu/kundaje/oak/projects/neuro-variants/variant_position/credible/roussos_2024/variant_figures/roussos_2024.childhood.Astrocyte/rs76655185_profile_position.png",4,220,900)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-0.31714512</v>
      </c>
      <c r="G1574" t="n">
        <v>0.0049759603491579</v>
      </c>
      <c r="H1574" t="n">
        <v>0.0395740544382963</v>
      </c>
      <c r="I1574" t="n">
        <v>0.0101926936432348</v>
      </c>
      <c r="J1574" t="n">
        <v>0.3338752642867501</v>
      </c>
      <c r="K1574" t="n">
        <v>0.116235615722387</v>
      </c>
      <c r="L1574" t="b">
        <v>1</v>
      </c>
      <c r="M1574" t="b">
        <v>1</v>
      </c>
      <c r="N1574" t="inlineStr">
        <is>
          <t>ref</t>
        </is>
      </c>
      <c r="O1574" t="n">
        <v>50</v>
      </c>
      <c r="P1574" t="n">
        <v>0.05872</v>
      </c>
      <c r="Q1574" t="n">
        <v>45</v>
      </c>
      <c r="R1574" t="n">
        <v>0.1001</v>
      </c>
      <c r="S1574">
        <f>IMAGE("https://mitra.stanford.edu/kundaje/oak/projects/neuro-variants/variant_position/credible/roussos_2024/variant_figures/roussos_2024.childhood.Astrocyte/rs9891529_count_position.png",4,220,900)</f>
        <v/>
      </c>
      <c r="T1574">
        <f>IMAGE("https://mitra.stanford.edu/kundaje/oak/projects/neuro-variants/variant_position/credible/roussos_2024/variant_figures/roussos_2024.childhood.Astrocyte/rs9891529_profile_position.png",4,220,900)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-0.1848752069999999</v>
      </c>
      <c r="G1575" t="n">
        <v>0.0202178840653926</v>
      </c>
      <c r="H1575" t="n">
        <v>0.0169051441473025</v>
      </c>
      <c r="I1575" t="n">
        <v>0.2163709784407368</v>
      </c>
      <c r="J1575" t="n">
        <v>0.0852449756894353</v>
      </c>
      <c r="K1575" t="n">
        <v>0.3556833326911786</v>
      </c>
      <c r="L1575" t="b">
        <v>1</v>
      </c>
      <c r="M1575" t="b">
        <v>0</v>
      </c>
      <c r="N1575" t="inlineStr">
        <is>
          <t>ref</t>
        </is>
      </c>
      <c r="O1575" t="n">
        <v>-65</v>
      </c>
      <c r="P1575" t="n">
        <v>0.03693</v>
      </c>
      <c r="Q1575" t="n">
        <v>80</v>
      </c>
      <c r="R1575" t="n">
        <v>0.04333</v>
      </c>
      <c r="S1575">
        <f>IMAGE("https://mitra.stanford.edu/kundaje/oak/projects/neuro-variants/variant_position/credible/roussos_2024/variant_figures/roussos_2024.childhood.Astrocyte/rs16954519_count_position.png",4,220,900)</f>
        <v/>
      </c>
      <c r="T1575">
        <f>IMAGE("https://mitra.stanford.edu/kundaje/oak/projects/neuro-variants/variant_position/credible/roussos_2024/variant_figures/roussos_2024.childhood.Astrocyte/rs16954519_profile_position.png",4,220,900)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-0.258261238</v>
      </c>
      <c r="G1576" t="n">
        <v>0.008608689717081499</v>
      </c>
      <c r="H1576" t="n">
        <v>0.0248448695549736</v>
      </c>
      <c r="I1576" t="n">
        <v>0.0630715820481263</v>
      </c>
      <c r="J1576" t="n">
        <v>0.1614442841550074</v>
      </c>
      <c r="K1576" t="n">
        <v>0.2390147606346579</v>
      </c>
      <c r="L1576" t="b">
        <v>1</v>
      </c>
      <c r="M1576" t="b">
        <v>1</v>
      </c>
      <c r="N1576" t="inlineStr">
        <is>
          <t>ref</t>
        </is>
      </c>
      <c r="O1576" t="n">
        <v>90</v>
      </c>
      <c r="P1576" t="n">
        <v>0.06759999999999999</v>
      </c>
      <c r="Q1576" t="n">
        <v>-95</v>
      </c>
      <c r="R1576" t="n">
        <v>0.1863</v>
      </c>
      <c r="S1576">
        <f>IMAGE("https://mitra.stanford.edu/kundaje/oak/projects/neuro-variants/variant_position/credible/roussos_2024/variant_figures/roussos_2024.childhood.Astrocyte/rs10445248_count_position.png",4,220,900)</f>
        <v/>
      </c>
      <c r="T1576">
        <f>IMAGE("https://mitra.stanford.edu/kundaje/oak/projects/neuro-variants/variant_position/credible/roussos_2024/variant_figures/roussos_2024.childhood.Astrocyte/rs10445248_profile_position.png",4,220,900)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-0.156001006</v>
      </c>
      <c r="G1577" t="n">
        <v>0.0359521096408878</v>
      </c>
      <c r="H1577" t="n">
        <v>0.0214552496090511</v>
      </c>
      <c r="I1577" t="n">
        <v>0.1015073552319139</v>
      </c>
      <c r="J1577" t="n">
        <v>0.5019975116973125</v>
      </c>
      <c r="K1577" t="n">
        <v>0.0538348154569809</v>
      </c>
      <c r="L1577" t="b">
        <v>0</v>
      </c>
      <c r="M1577" t="b">
        <v>0</v>
      </c>
      <c r="N1577" t="inlineStr">
        <is>
          <t>ref</t>
        </is>
      </c>
      <c r="O1577" t="n">
        <v>60</v>
      </c>
      <c r="P1577" t="n">
        <v>0.03348</v>
      </c>
      <c r="Q1577" t="n">
        <v>-95</v>
      </c>
      <c r="R1577" t="n">
        <v>0.237</v>
      </c>
      <c r="S1577">
        <f>IMAGE("https://mitra.stanford.edu/kundaje/oak/projects/neuro-variants/variant_position/credible/roussos_2024/variant_figures/roussos_2024.childhood.Astrocyte/rs9646399_count_position.png",4,220,900)</f>
        <v/>
      </c>
      <c r="T1577">
        <f>IMAGE("https://mitra.stanford.edu/kundaje/oak/projects/neuro-variants/variant_position/credible/roussos_2024/variant_figures/roussos_2024.childhood.Astrocyte/rs9646399_profile_position.png",4,220,900)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0.2127730619999999</v>
      </c>
      <c r="G1578" t="n">
        <v>0.0139574539465572</v>
      </c>
      <c r="H1578" t="n">
        <v>0.0158830415365187</v>
      </c>
      <c r="I1578" t="n">
        <v>0.258086774213029</v>
      </c>
      <c r="J1578" t="n">
        <v>0.9921618465343136</v>
      </c>
      <c r="K1578" t="n">
        <v>3.788074278155788e-06</v>
      </c>
      <c r="L1578" t="b">
        <v>1</v>
      </c>
      <c r="M1578" t="b">
        <v>0</v>
      </c>
      <c r="N1578" t="inlineStr">
        <is>
          <t>alt</t>
        </is>
      </c>
      <c r="O1578" t="n">
        <v>-5</v>
      </c>
      <c r="P1578" t="n">
        <v>0.004272</v>
      </c>
      <c r="Q1578" t="n">
        <v>20</v>
      </c>
      <c r="R1578" t="n">
        <v>0.06836</v>
      </c>
      <c r="S1578">
        <f>IMAGE("https://mitra.stanford.edu/kundaje/oak/projects/neuro-variants/variant_position/credible/roussos_2024/variant_figures/roussos_2024.childhood.Astrocyte/rs2051975_count_position.png",4,220,900)</f>
        <v/>
      </c>
      <c r="T1578">
        <f>IMAGE("https://mitra.stanford.edu/kundaje/oak/projects/neuro-variants/variant_position/credible/roussos_2024/variant_figures/roussos_2024.childhood.Astrocyte/rs2051975_profile_position.png",4,220,900)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0.090368754</v>
      </c>
      <c r="G1579" t="n">
        <v>0.0923683302841431</v>
      </c>
      <c r="H1579" t="n">
        <v>0.0175272602825871</v>
      </c>
      <c r="I1579" t="n">
        <v>0.1918397763475565</v>
      </c>
      <c r="J1579" t="n">
        <v>0.5425385267110897</v>
      </c>
      <c r="K1579" t="n">
        <v>0.0452481731312892</v>
      </c>
      <c r="L1579" t="b">
        <v>0</v>
      </c>
      <c r="M1579" t="b">
        <v>0</v>
      </c>
      <c r="N1579" t="inlineStr">
        <is>
          <t>alt</t>
        </is>
      </c>
      <c r="O1579" t="n">
        <v>75</v>
      </c>
      <c r="P1579" t="n">
        <v>0.01161</v>
      </c>
      <c r="Q1579" t="n">
        <v>10</v>
      </c>
      <c r="R1579" t="n">
        <v>0.0625</v>
      </c>
      <c r="S1579">
        <f>IMAGE("https://mitra.stanford.edu/kundaje/oak/projects/neuro-variants/variant_position/credible/roussos_2024/variant_figures/roussos_2024.childhood.Astrocyte/rs1889018_count_position.png",4,220,900)</f>
        <v/>
      </c>
      <c r="T1579">
        <f>IMAGE("https://mitra.stanford.edu/kundaje/oak/projects/neuro-variants/variant_position/credible/roussos_2024/variant_figures/roussos_2024.childhood.Astrocyte/rs1889018_profile_position.png",4,220,900)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0.0206816584</v>
      </c>
      <c r="G1580" t="n">
        <v>0.5071170716531068</v>
      </c>
      <c r="H1580" t="n">
        <v>0.055646669866186</v>
      </c>
      <c r="I1580" t="n">
        <v>0.0026603684723881</v>
      </c>
      <c r="J1580" t="n">
        <v>0.0866875806217703</v>
      </c>
      <c r="K1580" t="n">
        <v>0.3476446507691476</v>
      </c>
      <c r="L1580" t="b">
        <v>1</v>
      </c>
      <c r="M1580" t="b">
        <v>1</v>
      </c>
      <c r="N1580" t="inlineStr">
        <is>
          <t>alt</t>
        </is>
      </c>
      <c r="O1580" t="n">
        <v>-100</v>
      </c>
      <c r="P1580" t="n">
        <v>0.007614</v>
      </c>
      <c r="Q1580" t="n">
        <v>100</v>
      </c>
      <c r="R1580" t="n">
        <v>0.195</v>
      </c>
      <c r="S1580">
        <f>IMAGE("https://mitra.stanford.edu/kundaje/oak/projects/neuro-variants/variant_position/credible/roussos_2024/variant_figures/roussos_2024.childhood.Astrocyte/rs56886154_count_position.png",4,220,900)</f>
        <v/>
      </c>
      <c r="T1580">
        <f>IMAGE("https://mitra.stanford.edu/kundaje/oak/projects/neuro-variants/variant_position/credible/roussos_2024/variant_figures/roussos_2024.childhood.Astrocyte/rs56886154_profile_position.png",4,220,900)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-0.0341814126</v>
      </c>
      <c r="G1581" t="n">
        <v>0.3476776552797003</v>
      </c>
      <c r="H1581" t="n">
        <v>0.046981562784453</v>
      </c>
      <c r="I1581" t="n">
        <v>0.0051841362599911</v>
      </c>
      <c r="J1581" t="n">
        <v>0.6112454489249158</v>
      </c>
      <c r="K1581" t="n">
        <v>0.0317064082848693</v>
      </c>
      <c r="L1581" t="b">
        <v>1</v>
      </c>
      <c r="M1581" t="b">
        <v>1</v>
      </c>
      <c r="N1581" t="inlineStr">
        <is>
          <t>ref</t>
        </is>
      </c>
      <c r="O1581" t="n">
        <v>50</v>
      </c>
      <c r="P1581" t="n">
        <v>0.008030000000000001</v>
      </c>
      <c r="Q1581" t="n">
        <v>-95</v>
      </c>
      <c r="R1581" t="n">
        <v>0.272</v>
      </c>
      <c r="S1581">
        <f>IMAGE("https://mitra.stanford.edu/kundaje/oak/projects/neuro-variants/variant_position/credible/roussos_2024/variant_figures/roussos_2024.childhood.Astrocyte/rs4273100_count_position.png",4,220,900)</f>
        <v/>
      </c>
      <c r="T1581">
        <f>IMAGE("https://mitra.stanford.edu/kundaje/oak/projects/neuro-variants/variant_position/credible/roussos_2024/variant_figures/roussos_2024.childhood.Astrocyte/rs4273100_profile_position.png",4,220,900)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0.0448512941999999</v>
      </c>
      <c r="G1582" t="n">
        <v>0.240965470937854</v>
      </c>
      <c r="H1582" t="n">
        <v>0.0190437242663454</v>
      </c>
      <c r="I1582" t="n">
        <v>0.1494895155885265</v>
      </c>
      <c r="J1582" t="n">
        <v>0.2705731492294657</v>
      </c>
      <c r="K1582" t="n">
        <v>0.1508059435713883</v>
      </c>
      <c r="L1582" t="b">
        <v>0</v>
      </c>
      <c r="M1582" t="b">
        <v>0</v>
      </c>
      <c r="N1582" t="inlineStr">
        <is>
          <t>alt</t>
        </is>
      </c>
      <c r="O1582" t="n">
        <v>55</v>
      </c>
      <c r="P1582" t="n">
        <v>0.00343</v>
      </c>
      <c r="Q1582" t="n">
        <v>100</v>
      </c>
      <c r="R1582" t="n">
        <v>0.1265</v>
      </c>
      <c r="S1582">
        <f>IMAGE("https://mitra.stanford.edu/kundaje/oak/projects/neuro-variants/variant_position/credible/roussos_2024/variant_figures/roussos_2024.childhood.Astrocyte/rs28760541_count_position.png",4,220,900)</f>
        <v/>
      </c>
      <c r="T1582">
        <f>IMAGE("https://mitra.stanford.edu/kundaje/oak/projects/neuro-variants/variant_position/credible/roussos_2024/variant_figures/roussos_2024.childhood.Astrocyte/rs28760541_profile_position.png",4,220,900)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-0.0877515391999999</v>
      </c>
      <c r="G1583" t="n">
        <v>0.1210467223862144</v>
      </c>
      <c r="H1583" t="n">
        <v>0.0213641878930366</v>
      </c>
      <c r="I1583" t="n">
        <v>0.1102214646549188</v>
      </c>
      <c r="J1583" t="n">
        <v>0.1225649363040308</v>
      </c>
      <c r="K1583" t="n">
        <v>0.2857362579094251</v>
      </c>
      <c r="L1583" t="b">
        <v>0</v>
      </c>
      <c r="M1583" t="b">
        <v>0</v>
      </c>
      <c r="N1583" t="inlineStr">
        <is>
          <t>ref</t>
        </is>
      </c>
      <c r="O1583" t="n">
        <v>95</v>
      </c>
      <c r="P1583" t="n">
        <v>0.003796</v>
      </c>
      <c r="Q1583" t="n">
        <v>-90</v>
      </c>
      <c r="R1583" t="n">
        <v>0.12085</v>
      </c>
      <c r="S1583">
        <f>IMAGE("https://mitra.stanford.edu/kundaje/oak/projects/neuro-variants/variant_position/credible/roussos_2024/variant_figures/roussos_2024.childhood.Astrocyte/rs16960499_count_position.png",4,220,900)</f>
        <v/>
      </c>
      <c r="T1583">
        <f>IMAGE("https://mitra.stanford.edu/kundaje/oak/projects/neuro-variants/variant_position/credible/roussos_2024/variant_figures/roussos_2024.childhood.Astrocyte/rs16960499_profile_position.png",4,220,900)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-0.0304098894</v>
      </c>
      <c r="G1584" t="n">
        <v>0.3921483978508223</v>
      </c>
      <c r="H1584" t="n">
        <v>0.009142956134438499</v>
      </c>
      <c r="I1584" t="n">
        <v>0.8045374973728473</v>
      </c>
      <c r="J1584" t="n">
        <v>0.1185775457397357</v>
      </c>
      <c r="K1584" t="n">
        <v>0.3145275553432775</v>
      </c>
      <c r="L1584" t="b">
        <v>0</v>
      </c>
      <c r="M1584" t="b">
        <v>0</v>
      </c>
      <c r="N1584" t="inlineStr">
        <is>
          <t>ref</t>
        </is>
      </c>
      <c r="O1584" t="n">
        <v>-100</v>
      </c>
      <c r="P1584" t="n">
        <v>0.002523</v>
      </c>
      <c r="Q1584" t="n">
        <v>100</v>
      </c>
      <c r="R1584" t="n">
        <v>0.10266</v>
      </c>
      <c r="S1584">
        <f>IMAGE("https://mitra.stanford.edu/kundaje/oak/projects/neuro-variants/variant_position/credible/roussos_2024/variant_figures/roussos_2024.childhood.Astrocyte/rs2048230_count_position.png",4,220,900)</f>
        <v/>
      </c>
      <c r="T1584">
        <f>IMAGE("https://mitra.stanford.edu/kundaje/oak/projects/neuro-variants/variant_position/credible/roussos_2024/variant_figures/roussos_2024.childhood.Astrocyte/rs2048230_profile_position.png",4,220,900)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0.2533171939999999</v>
      </c>
      <c r="G1585" t="n">
        <v>0.009205246386274801</v>
      </c>
      <c r="H1585" t="n">
        <v>0.0359100931324099</v>
      </c>
      <c r="I1585" t="n">
        <v>0.0171817109871273</v>
      </c>
      <c r="J1585" t="n">
        <v>0.4973498813094883</v>
      </c>
      <c r="K1585" t="n">
        <v>0.0563378972831766</v>
      </c>
      <c r="L1585" t="b">
        <v>1</v>
      </c>
      <c r="M1585" t="b">
        <v>1</v>
      </c>
      <c r="N1585" t="inlineStr">
        <is>
          <t>alt</t>
        </is>
      </c>
      <c r="O1585" t="n">
        <v>-95</v>
      </c>
      <c r="P1585" t="n">
        <v>0.01006</v>
      </c>
      <c r="Q1585" t="n">
        <v>-95</v>
      </c>
      <c r="R1585" t="n">
        <v>0.495</v>
      </c>
      <c r="S1585">
        <f>IMAGE("https://mitra.stanford.edu/kundaje/oak/projects/neuro-variants/variant_position/credible/roussos_2024/variant_figures/roussos_2024.childhood.Astrocyte/rs2428582_count_position.png",4,220,900)</f>
        <v/>
      </c>
      <c r="T1585">
        <f>IMAGE("https://mitra.stanford.edu/kundaje/oak/projects/neuro-variants/variant_position/credible/roussos_2024/variant_figures/roussos_2024.childhood.Astrocyte/rs2428582_profile_position.png",4,220,900)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0.0152250325999999</v>
      </c>
      <c r="G1586" t="n">
        <v>0.5734415321921236</v>
      </c>
      <c r="H1586" t="n">
        <v>0.0171460691659072</v>
      </c>
      <c r="I1586" t="n">
        <v>0.2040886439193003</v>
      </c>
      <c r="J1586" t="n">
        <v>0.0162327402624166</v>
      </c>
      <c r="K1586" t="n">
        <v>0.6193097617386191</v>
      </c>
      <c r="L1586" t="b">
        <v>0</v>
      </c>
      <c r="M1586" t="b">
        <v>0</v>
      </c>
      <c r="N1586" t="inlineStr">
        <is>
          <t>alt</t>
        </is>
      </c>
      <c r="O1586" t="n">
        <v>80</v>
      </c>
      <c r="P1586" t="n">
        <v>0.0092</v>
      </c>
      <c r="Q1586" t="n">
        <v>-20</v>
      </c>
      <c r="R1586" t="n">
        <v>0.01465</v>
      </c>
      <c r="S1586">
        <f>IMAGE("https://mitra.stanford.edu/kundaje/oak/projects/neuro-variants/variant_position/credible/roussos_2024/variant_figures/roussos_2024.childhood.Astrocyte/rs9915039_count_position.png",4,220,900)</f>
        <v/>
      </c>
      <c r="T1586">
        <f>IMAGE("https://mitra.stanford.edu/kundaje/oak/projects/neuro-variants/variant_position/credible/roussos_2024/variant_figures/roussos_2024.childhood.Astrocyte/rs9915039_profile_position.png",4,220,900)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0.1155857426</v>
      </c>
      <c r="G1587" t="n">
        <v>0.0560590594581874</v>
      </c>
      <c r="H1587" t="n">
        <v>0.0273109264336998</v>
      </c>
      <c r="I1587" t="n">
        <v>0.0454691412611399</v>
      </c>
      <c r="J1587" t="n">
        <v>0.2447352552800104</v>
      </c>
      <c r="K1587" t="n">
        <v>0.1699068856503386</v>
      </c>
      <c r="L1587" t="b">
        <v>0</v>
      </c>
      <c r="M1587" t="b">
        <v>0</v>
      </c>
      <c r="N1587" t="inlineStr">
        <is>
          <t>alt</t>
        </is>
      </c>
      <c r="O1587" t="n">
        <v>-10</v>
      </c>
      <c r="P1587" t="n">
        <v>0.001526</v>
      </c>
      <c r="Q1587" t="n">
        <v>-95</v>
      </c>
      <c r="R1587" t="n">
        <v>0.1687</v>
      </c>
      <c r="S1587">
        <f>IMAGE("https://mitra.stanford.edu/kundaje/oak/projects/neuro-variants/variant_position/credible/roussos_2024/variant_figures/roussos_2024.childhood.Astrocyte/rs28767032_count_position.png",4,220,900)</f>
        <v/>
      </c>
      <c r="T1587">
        <f>IMAGE("https://mitra.stanford.edu/kundaje/oak/projects/neuro-variants/variant_position/credible/roussos_2024/variant_figures/roussos_2024.childhood.Astrocyte/rs28767032_profile_position.png",4,220,900)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-0.015603661</v>
      </c>
      <c r="G1588" t="n">
        <v>0.6088723844908283</v>
      </c>
      <c r="H1588" t="n">
        <v>0.012530210499878</v>
      </c>
      <c r="I1588" t="n">
        <v>0.4679450868861247</v>
      </c>
      <c r="J1588" t="n">
        <v>0.0044079595154679</v>
      </c>
      <c r="K1588" t="n">
        <v>0.7910345394191362</v>
      </c>
      <c r="L1588" t="b">
        <v>0</v>
      </c>
      <c r="M1588" t="b">
        <v>0</v>
      </c>
      <c r="N1588" t="inlineStr">
        <is>
          <t>ref</t>
        </is>
      </c>
      <c r="O1588" t="n">
        <v>-35</v>
      </c>
      <c r="P1588" t="n">
        <v>0.004456</v>
      </c>
      <c r="Q1588" t="n">
        <v>-80</v>
      </c>
      <c r="R1588" t="n">
        <v>0.05463</v>
      </c>
      <c r="S1588">
        <f>IMAGE("https://mitra.stanford.edu/kundaje/oak/projects/neuro-variants/variant_position/credible/roussos_2024/variant_figures/roussos_2024.childhood.Astrocyte/rs8082671_count_position.png",4,220,900)</f>
        <v/>
      </c>
      <c r="T1588">
        <f>IMAGE("https://mitra.stanford.edu/kundaje/oak/projects/neuro-variants/variant_position/credible/roussos_2024/variant_figures/roussos_2024.childhood.Astrocyte/rs8082671_profile_position.png",4,220,900)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-0.013843825148</v>
      </c>
      <c r="G1589" t="n">
        <v>0.6320083899998129</v>
      </c>
      <c r="H1589" t="n">
        <v>0.0184298402826602</v>
      </c>
      <c r="I1589" t="n">
        <v>0.1651424968986359</v>
      </c>
      <c r="J1589" t="n">
        <v>0.0175020799462648</v>
      </c>
      <c r="K1589" t="n">
        <v>0.6117647593132935</v>
      </c>
      <c r="L1589" t="b">
        <v>0</v>
      </c>
      <c r="M1589" t="b">
        <v>0</v>
      </c>
      <c r="N1589" t="inlineStr">
        <is>
          <t>ref</t>
        </is>
      </c>
      <c r="O1589" t="n">
        <v>-45</v>
      </c>
      <c r="P1589" t="n">
        <v>0.05862</v>
      </c>
      <c r="Q1589" t="n">
        <v>-100</v>
      </c>
      <c r="R1589" t="n">
        <v>0.2267</v>
      </c>
      <c r="S1589">
        <f>IMAGE("https://mitra.stanford.edu/kundaje/oak/projects/neuro-variants/variant_position/credible/roussos_2024/variant_figures/roussos_2024.childhood.Astrocyte/rs8065337_count_position.png",4,220,900)</f>
        <v/>
      </c>
      <c r="T1589">
        <f>IMAGE("https://mitra.stanford.edu/kundaje/oak/projects/neuro-variants/variant_position/credible/roussos_2024/variant_figures/roussos_2024.childhood.Astrocyte/rs8065337_profile_position.png",4,220,900)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-0.00904077002</v>
      </c>
      <c r="G1590" t="n">
        <v>0.7365501984670555</v>
      </c>
      <c r="H1590" t="n">
        <v>0.0109567114248337</v>
      </c>
      <c r="I1590" t="n">
        <v>0.6026560362072186</v>
      </c>
      <c r="J1590" t="n">
        <v>0.0102829490203262</v>
      </c>
      <c r="K1590" t="n">
        <v>0.6885678800099352</v>
      </c>
      <c r="L1590" t="b">
        <v>0</v>
      </c>
      <c r="M1590" t="b">
        <v>0</v>
      </c>
      <c r="N1590" t="inlineStr">
        <is>
          <t>ref</t>
        </is>
      </c>
      <c r="O1590" t="n">
        <v>-30</v>
      </c>
      <c r="P1590" t="n">
        <v>0.001282</v>
      </c>
      <c r="Q1590" t="n">
        <v>10</v>
      </c>
      <c r="R1590" t="n">
        <v>0.0083</v>
      </c>
      <c r="S1590">
        <f>IMAGE("https://mitra.stanford.edu/kundaje/oak/projects/neuro-variants/variant_position/credible/roussos_2024/variant_figures/roussos_2024.childhood.Astrocyte/rs28807825_count_position.png",4,220,900)</f>
        <v/>
      </c>
      <c r="T1590">
        <f>IMAGE("https://mitra.stanford.edu/kundaje/oak/projects/neuro-variants/variant_position/credible/roussos_2024/variant_figures/roussos_2024.childhood.Astrocyte/rs28807825_profile_position.png",4,220,900)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0.0323899623</v>
      </c>
      <c r="G1591" t="n">
        <v>0.3129498849949319</v>
      </c>
      <c r="H1591" t="n">
        <v>0.0142845572137161</v>
      </c>
      <c r="I1591" t="n">
        <v>0.3421661190280134</v>
      </c>
      <c r="J1591" t="n">
        <v>0.1630868692419835</v>
      </c>
      <c r="K1591" t="n">
        <v>0.2381077550667632</v>
      </c>
      <c r="L1591" t="b">
        <v>0</v>
      </c>
      <c r="M1591" t="b">
        <v>0</v>
      </c>
      <c r="N1591" t="inlineStr">
        <is>
          <t>alt</t>
        </is>
      </c>
      <c r="O1591" t="n">
        <v>-10</v>
      </c>
      <c r="P1591" t="n">
        <v>0.0004883</v>
      </c>
      <c r="Q1591" t="n">
        <v>100</v>
      </c>
      <c r="R1591" t="n">
        <v>0.2327</v>
      </c>
      <c r="S1591">
        <f>IMAGE("https://mitra.stanford.edu/kundaje/oak/projects/neuro-variants/variant_position/credible/roussos_2024/variant_figures/roussos_2024.childhood.Astrocyte/rs9914328_count_position.png",4,220,900)</f>
        <v/>
      </c>
      <c r="T1591">
        <f>IMAGE("https://mitra.stanford.edu/kundaje/oak/projects/neuro-variants/variant_position/credible/roussos_2024/variant_figures/roussos_2024.childhood.Astrocyte/rs9914328_profile_position.png",4,220,900)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0.0935953952</v>
      </c>
      <c r="G1592" t="n">
        <v>0.0969949419053211</v>
      </c>
      <c r="H1592" t="n">
        <v>0.0395956581448444</v>
      </c>
      <c r="I1592" t="n">
        <v>0.013356914340968</v>
      </c>
      <c r="J1592" t="n">
        <v>0.2588056147099906</v>
      </c>
      <c r="K1592" t="n">
        <v>0.1579445992380783</v>
      </c>
      <c r="L1592" t="b">
        <v>1</v>
      </c>
      <c r="M1592" t="b">
        <v>0</v>
      </c>
      <c r="N1592" t="inlineStr">
        <is>
          <t>alt</t>
        </is>
      </c>
      <c r="O1592" t="n">
        <v>-75</v>
      </c>
      <c r="P1592" t="n">
        <v>0.01293</v>
      </c>
      <c r="Q1592" t="n">
        <v>-100</v>
      </c>
      <c r="R1592" t="n">
        <v>0.4434</v>
      </c>
      <c r="S1592">
        <f>IMAGE("https://mitra.stanford.edu/kundaje/oak/projects/neuro-variants/variant_position/credible/roussos_2024/variant_figures/roussos_2024.childhood.Astrocyte/rs7221669_count_position.png",4,220,900)</f>
        <v/>
      </c>
      <c r="T1592">
        <f>IMAGE("https://mitra.stanford.edu/kundaje/oak/projects/neuro-variants/variant_position/credible/roussos_2024/variant_figures/roussos_2024.childhood.Astrocyte/rs7221669_profile_position.png",4,220,900)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0.026997439</v>
      </c>
      <c r="G1593" t="n">
        <v>0.4066173022382883</v>
      </c>
      <c r="H1593" t="n">
        <v>0.0111146591608053</v>
      </c>
      <c r="I1593" t="n">
        <v>0.5775821940108703</v>
      </c>
      <c r="J1593" t="n">
        <v>0.1753810690542159</v>
      </c>
      <c r="K1593" t="n">
        <v>0.2306182341764531</v>
      </c>
      <c r="L1593" t="b">
        <v>0</v>
      </c>
      <c r="M1593" t="b">
        <v>0</v>
      </c>
      <c r="N1593" t="inlineStr">
        <is>
          <t>alt</t>
        </is>
      </c>
      <c r="O1593" t="n">
        <v>-100</v>
      </c>
      <c r="P1593" t="n">
        <v>0.00932</v>
      </c>
      <c r="Q1593" t="n">
        <v>90</v>
      </c>
      <c r="R1593" t="n">
        <v>0.1172</v>
      </c>
      <c r="S1593">
        <f>IMAGE("https://mitra.stanford.edu/kundaje/oak/projects/neuro-variants/variant_position/credible/roussos_2024/variant_figures/roussos_2024.childhood.Astrocyte/rs3909257_count_position.png",4,220,900)</f>
        <v/>
      </c>
      <c r="T1593">
        <f>IMAGE("https://mitra.stanford.edu/kundaje/oak/projects/neuro-variants/variant_position/credible/roussos_2024/variant_figures/roussos_2024.childhood.Astrocyte/rs3909257_profile_position.png",4,220,900)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0.0233738344</v>
      </c>
      <c r="G1594" t="n">
        <v>0.2744682089031198</v>
      </c>
      <c r="H1594" t="n">
        <v>0.0196293264352777</v>
      </c>
      <c r="I1594" t="n">
        <v>0.1355092866162442</v>
      </c>
      <c r="J1594" t="n">
        <v>0.008874691824475299</v>
      </c>
      <c r="K1594" t="n">
        <v>0.7116624314206035</v>
      </c>
      <c r="L1594" t="b">
        <v>0</v>
      </c>
      <c r="M1594" t="b">
        <v>0</v>
      </c>
      <c r="N1594" t="inlineStr">
        <is>
          <t>alt</t>
        </is>
      </c>
      <c r="O1594" t="n">
        <v>-100</v>
      </c>
      <c r="P1594" t="n">
        <v>0.02097</v>
      </c>
      <c r="Q1594" t="n">
        <v>100</v>
      </c>
      <c r="R1594" t="n">
        <v>0.094</v>
      </c>
      <c r="S1594">
        <f>IMAGE("https://mitra.stanford.edu/kundaje/oak/projects/neuro-variants/variant_position/credible/roussos_2024/variant_figures/roussos_2024.childhood.Astrocyte/rs4925077_count_position.png",4,220,900)</f>
        <v/>
      </c>
      <c r="T1594">
        <f>IMAGE("https://mitra.stanford.edu/kundaje/oak/projects/neuro-variants/variant_position/credible/roussos_2024/variant_figures/roussos_2024.childhood.Astrocyte/rs4925077_profile_position.png",4,220,900)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-0.233509734</v>
      </c>
      <c r="G1595" t="n">
        <v>0.0114897019104681</v>
      </c>
      <c r="H1595" t="n">
        <v>0.0256302915421062</v>
      </c>
      <c r="I1595" t="n">
        <v>0.0552327683530351</v>
      </c>
      <c r="J1595" t="n">
        <v>0.1966865883538274</v>
      </c>
      <c r="K1595" t="n">
        <v>0.2044512064777227</v>
      </c>
      <c r="L1595" t="b">
        <v>1</v>
      </c>
      <c r="M1595" t="b">
        <v>0</v>
      </c>
      <c r="N1595" t="inlineStr">
        <is>
          <t>ref</t>
        </is>
      </c>
      <c r="O1595" t="n">
        <v>-100</v>
      </c>
      <c r="P1595" t="n">
        <v>0.02257</v>
      </c>
      <c r="Q1595" t="n">
        <v>-100</v>
      </c>
      <c r="R1595" t="n">
        <v>0.2876</v>
      </c>
      <c r="S1595">
        <f>IMAGE("https://mitra.stanford.edu/kundaje/oak/projects/neuro-variants/variant_position/credible/roussos_2024/variant_figures/roussos_2024.childhood.Astrocyte/rs35602968_count_position.png",4,220,900)</f>
        <v/>
      </c>
      <c r="T1595">
        <f>IMAGE("https://mitra.stanford.edu/kundaje/oak/projects/neuro-variants/variant_position/credible/roussos_2024/variant_figures/roussos_2024.childhood.Astrocyte/rs35602968_profile_position.png",4,220,900)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0.0111501783999999</v>
      </c>
      <c r="G1596" t="n">
        <v>0.6817399934810661</v>
      </c>
      <c r="H1596" t="n">
        <v>0.0112573217211667</v>
      </c>
      <c r="I1596" t="n">
        <v>0.574623326089311</v>
      </c>
      <c r="J1596" t="n">
        <v>0.072413424621984</v>
      </c>
      <c r="K1596" t="n">
        <v>0.3838940324943587</v>
      </c>
      <c r="L1596" t="b">
        <v>0</v>
      </c>
      <c r="M1596" t="b">
        <v>0</v>
      </c>
      <c r="N1596" t="inlineStr">
        <is>
          <t>alt</t>
        </is>
      </c>
      <c r="O1596" t="n">
        <v>-50</v>
      </c>
      <c r="P1596" t="n">
        <v>0.0367</v>
      </c>
      <c r="Q1596" t="n">
        <v>-85</v>
      </c>
      <c r="R1596" t="n">
        <v>0.1938</v>
      </c>
      <c r="S1596">
        <f>IMAGE("https://mitra.stanford.edu/kundaje/oak/projects/neuro-variants/variant_position/credible/roussos_2024/variant_figures/roussos_2024.childhood.Astrocyte/rs7212500_count_position.png",4,220,900)</f>
        <v/>
      </c>
      <c r="T1596">
        <f>IMAGE("https://mitra.stanford.edu/kundaje/oak/projects/neuro-variants/variant_position/credible/roussos_2024/variant_figures/roussos_2024.childhood.Astrocyte/rs7212500_profile_position.png",4,220,900)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0.1090003212</v>
      </c>
      <c r="G1597" t="n">
        <v>0.0652708990632061</v>
      </c>
      <c r="H1597" t="n">
        <v>0.016987982996579</v>
      </c>
      <c r="I1597" t="n">
        <v>0.2132364557534452</v>
      </c>
      <c r="J1597" t="n">
        <v>0.1553685512124751</v>
      </c>
      <c r="K1597" t="n">
        <v>0.2446208282786398</v>
      </c>
      <c r="L1597" t="b">
        <v>0</v>
      </c>
      <c r="M1597" t="b">
        <v>0</v>
      </c>
      <c r="N1597" t="inlineStr">
        <is>
          <t>alt</t>
        </is>
      </c>
      <c r="O1597" t="n">
        <v>-75</v>
      </c>
      <c r="P1597" t="n">
        <v>0.06569999999999999</v>
      </c>
      <c r="Q1597" t="n">
        <v>-70</v>
      </c>
      <c r="R1597" t="n">
        <v>0.2416</v>
      </c>
      <c r="S1597">
        <f>IMAGE("https://mitra.stanford.edu/kundaje/oak/projects/neuro-variants/variant_position/credible/roussos_2024/variant_figures/roussos_2024.childhood.Astrocyte/rs2703777_count_position.png",4,220,900)</f>
        <v/>
      </c>
      <c r="T1597">
        <f>IMAGE("https://mitra.stanford.edu/kundaje/oak/projects/neuro-variants/variant_position/credible/roussos_2024/variant_figures/roussos_2024.childhood.Astrocyte/rs2703777_profile_position.png",4,220,900)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0.0205205258</v>
      </c>
      <c r="G1598" t="n">
        <v>0.5033240974402167</v>
      </c>
      <c r="H1598" t="n">
        <v>0.0080482573004439</v>
      </c>
      <c r="I1598" t="n">
        <v>0.8947497339968933</v>
      </c>
      <c r="J1598" t="n">
        <v>0.2494187599703846</v>
      </c>
      <c r="K1598" t="n">
        <v>0.1647344878486989</v>
      </c>
      <c r="L1598" t="b">
        <v>0</v>
      </c>
      <c r="M1598" t="b">
        <v>0</v>
      </c>
      <c r="N1598" t="inlineStr">
        <is>
          <t>alt</t>
        </is>
      </c>
      <c r="O1598" t="n">
        <v>-30</v>
      </c>
      <c r="P1598" t="n">
        <v>0.001465</v>
      </c>
      <c r="Q1598" t="n">
        <v>95</v>
      </c>
      <c r="R1598" t="n">
        <v>0.09155000000000001</v>
      </c>
      <c r="S1598">
        <f>IMAGE("https://mitra.stanford.edu/kundaje/oak/projects/neuro-variants/variant_position/credible/roussos_2024/variant_figures/roussos_2024.childhood.Astrocyte/rs2158472_count_position.png",4,220,900)</f>
        <v/>
      </c>
      <c r="T1598">
        <f>IMAGE("https://mitra.stanford.edu/kundaje/oak/projects/neuro-variants/variant_position/credible/roussos_2024/variant_figures/roussos_2024.childhood.Astrocyte/rs2158472_profile_position.png",4,220,900)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0.0038875889399999</v>
      </c>
      <c r="G1599" t="n">
        <v>0.8676454016571097</v>
      </c>
      <c r="H1599" t="n">
        <v>0.0352185581303707</v>
      </c>
      <c r="I1599" t="n">
        <v>0.0158323391133171</v>
      </c>
      <c r="J1599" t="n">
        <v>0.1947486127330875</v>
      </c>
      <c r="K1599" t="n">
        <v>0.2075967101709344</v>
      </c>
      <c r="L1599" t="b">
        <v>1</v>
      </c>
      <c r="M1599" t="b">
        <v>0</v>
      </c>
      <c r="N1599" t="inlineStr">
        <is>
          <t>alt</t>
        </is>
      </c>
      <c r="O1599" t="n">
        <v>100</v>
      </c>
      <c r="P1599" t="n">
        <v>0.0083</v>
      </c>
      <c r="Q1599" t="n">
        <v>-100</v>
      </c>
      <c r="R1599" t="n">
        <v>0.09393</v>
      </c>
      <c r="S1599">
        <f>IMAGE("https://mitra.stanford.edu/kundaje/oak/projects/neuro-variants/variant_position/credible/roussos_2024/variant_figures/roussos_2024.childhood.Astrocyte/rs72625942_count_position.png",4,220,900)</f>
        <v/>
      </c>
      <c r="T1599">
        <f>IMAGE("https://mitra.stanford.edu/kundaje/oak/projects/neuro-variants/variant_position/credible/roussos_2024/variant_figures/roussos_2024.childhood.Astrocyte/rs72625942_profile_position.png",4,220,900)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-0.009657987850000001</v>
      </c>
      <c r="G1600" t="n">
        <v>0.7380370332719929</v>
      </c>
      <c r="H1600" t="n">
        <v>0.0184134593358991</v>
      </c>
      <c r="I1600" t="n">
        <v>0.1726080093836789</v>
      </c>
      <c r="J1600" t="n">
        <v>0.002344042194286</v>
      </c>
      <c r="K1600" t="n">
        <v>0.8447640164530349</v>
      </c>
      <c r="L1600" t="b">
        <v>0</v>
      </c>
      <c r="M1600" t="b">
        <v>0</v>
      </c>
      <c r="N1600" t="inlineStr">
        <is>
          <t>ref</t>
        </is>
      </c>
      <c r="O1600" t="n">
        <v>80</v>
      </c>
      <c r="P1600" t="n">
        <v>0.007233</v>
      </c>
      <c r="Q1600" t="n">
        <v>55</v>
      </c>
      <c r="R1600" t="n">
        <v>0.0664</v>
      </c>
      <c r="S1600">
        <f>IMAGE("https://mitra.stanford.edu/kundaje/oak/projects/neuro-variants/variant_position/credible/roussos_2024/variant_figures/roussos_2024.childhood.Astrocyte/rs117001874_count_position.png",4,220,900)</f>
        <v/>
      </c>
      <c r="T1600">
        <f>IMAGE("https://mitra.stanford.edu/kundaje/oak/projects/neuro-variants/variant_position/credible/roussos_2024/variant_figures/roussos_2024.childhood.Astrocyte/rs117001874_profile_position.png",4,220,900)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0.0274209886</v>
      </c>
      <c r="G1601" t="n">
        <v>0.4214923664541519</v>
      </c>
      <c r="H1601" t="n">
        <v>0.0145984549948446</v>
      </c>
      <c r="I1601" t="n">
        <v>0.3173067798001753</v>
      </c>
      <c r="J1601" t="n">
        <v>0.1561692351140726</v>
      </c>
      <c r="K1601" t="n">
        <v>0.2505575866057414</v>
      </c>
      <c r="L1601" t="b">
        <v>0</v>
      </c>
      <c r="M1601" t="b">
        <v>0</v>
      </c>
      <c r="N1601" t="inlineStr">
        <is>
          <t>alt</t>
        </is>
      </c>
      <c r="O1601" t="n">
        <v>-95</v>
      </c>
      <c r="P1601" t="n">
        <v>0.00485</v>
      </c>
      <c r="Q1601" t="n">
        <v>-70</v>
      </c>
      <c r="R1601" t="n">
        <v>0.06279999999999999</v>
      </c>
      <c r="S1601">
        <f>IMAGE("https://mitra.stanford.edu/kundaje/oak/projects/neuro-variants/variant_position/credible/roussos_2024/variant_figures/roussos_2024.childhood.Astrocyte/rs72625945_count_position.png",4,220,900)</f>
        <v/>
      </c>
      <c r="T1601">
        <f>IMAGE("https://mitra.stanford.edu/kundaje/oak/projects/neuro-variants/variant_position/credible/roussos_2024/variant_figures/roussos_2024.childhood.Astrocyte/rs72625945_profile_position.png",4,220,900)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-0.077619798</v>
      </c>
      <c r="G1602" t="n">
        <v>0.1117491978701218</v>
      </c>
      <c r="H1602" t="n">
        <v>0.0158969204028407</v>
      </c>
      <c r="I1602" t="n">
        <v>0.2556121774489306</v>
      </c>
      <c r="J1602" t="n">
        <v>0.6978269332051017</v>
      </c>
      <c r="K1602" t="n">
        <v>0.0188547291485972</v>
      </c>
      <c r="L1602" t="b">
        <v>0</v>
      </c>
      <c r="M1602" t="b">
        <v>0</v>
      </c>
      <c r="N1602" t="inlineStr">
        <is>
          <t>ref</t>
        </is>
      </c>
      <c r="O1602" t="n">
        <v>100</v>
      </c>
      <c r="P1602" t="n">
        <v>0.013214</v>
      </c>
      <c r="Q1602" t="n">
        <v>-100</v>
      </c>
      <c r="R1602" t="n">
        <v>0.12134</v>
      </c>
      <c r="S1602">
        <f>IMAGE("https://mitra.stanford.edu/kundaje/oak/projects/neuro-variants/variant_position/credible/roussos_2024/variant_figures/roussos_2024.childhood.Astrocyte/rs76297940_count_position.png",4,220,900)</f>
        <v/>
      </c>
      <c r="T1602">
        <f>IMAGE("https://mitra.stanford.edu/kundaje/oak/projects/neuro-variants/variant_position/credible/roussos_2024/variant_figures/roussos_2024.childhood.Astrocyte/rs76297940_profile_position.png",4,220,900)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0.0003949432199999</v>
      </c>
      <c r="G1603" t="n">
        <v>0.8567990729848834</v>
      </c>
      <c r="H1603" t="n">
        <v>0.0258970502568445</v>
      </c>
      <c r="I1603" t="n">
        <v>0.0513300209525642</v>
      </c>
      <c r="J1603" t="n">
        <v>0.0044331478555562</v>
      </c>
      <c r="K1603" t="n">
        <v>0.7885979356766326</v>
      </c>
      <c r="L1603" t="b">
        <v>0</v>
      </c>
      <c r="M1603" t="b">
        <v>0</v>
      </c>
      <c r="N1603" t="inlineStr">
        <is>
          <t>alt</t>
        </is>
      </c>
      <c r="O1603" t="n">
        <v>-25</v>
      </c>
      <c r="P1603" t="n">
        <v>0.002663</v>
      </c>
      <c r="Q1603" t="n">
        <v>-75</v>
      </c>
      <c r="R1603" t="n">
        <v>0.1271</v>
      </c>
      <c r="S1603">
        <f>IMAGE("https://mitra.stanford.edu/kundaje/oak/projects/neuro-variants/variant_position/credible/roussos_2024/variant_figures/roussos_2024.childhood.Astrocyte/rs383241_count_position.png",4,220,900)</f>
        <v/>
      </c>
      <c r="T1603">
        <f>IMAGE("https://mitra.stanford.edu/kundaje/oak/projects/neuro-variants/variant_position/credible/roussos_2024/variant_figures/roussos_2024.childhood.Astrocyte/rs383241_profile_position.png",4,220,900)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-0.00300952044</v>
      </c>
      <c r="G1604" t="n">
        <v>0.7928679350338068</v>
      </c>
      <c r="H1604" t="n">
        <v>0.0286907127906713</v>
      </c>
      <c r="I1604" t="n">
        <v>0.0365229259950327</v>
      </c>
      <c r="J1604" t="n">
        <v>0.0217192187034873</v>
      </c>
      <c r="K1604" t="n">
        <v>0.5818643716597829</v>
      </c>
      <c r="L1604" t="b">
        <v>0</v>
      </c>
      <c r="M1604" t="b">
        <v>0</v>
      </c>
      <c r="N1604" t="inlineStr">
        <is>
          <t>ref</t>
        </is>
      </c>
      <c r="O1604" t="n">
        <v>70</v>
      </c>
      <c r="P1604" t="n">
        <v>0.01343</v>
      </c>
      <c r="Q1604" t="n">
        <v>65</v>
      </c>
      <c r="R1604" t="n">
        <v>0.066</v>
      </c>
      <c r="S1604">
        <f>IMAGE("https://mitra.stanford.edu/kundaje/oak/projects/neuro-variants/variant_position/credible/roussos_2024/variant_figures/roussos_2024.childhood.Astrocyte/rs81632_count_position.png",4,220,900)</f>
        <v/>
      </c>
      <c r="T1604">
        <f>IMAGE("https://mitra.stanford.edu/kundaje/oak/projects/neuro-variants/variant_position/credible/roussos_2024/variant_figures/roussos_2024.childhood.Astrocyte/rs81632_profile_position.png",4,220,900)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0.0559273946</v>
      </c>
      <c r="G1605" t="n">
        <v>0.1922623963636194</v>
      </c>
      <c r="H1605" t="n">
        <v>0.0152458954156595</v>
      </c>
      <c r="I1605" t="n">
        <v>0.2879848481272324</v>
      </c>
      <c r="J1605" t="n">
        <v>0.0019448451680367</v>
      </c>
      <c r="K1605" t="n">
        <v>0.8588931565091886</v>
      </c>
      <c r="L1605" t="b">
        <v>0</v>
      </c>
      <c r="M1605" t="b">
        <v>0</v>
      </c>
      <c r="N1605" t="inlineStr">
        <is>
          <t>alt</t>
        </is>
      </c>
      <c r="O1605" t="n">
        <v>90</v>
      </c>
      <c r="P1605" t="n">
        <v>0.003952</v>
      </c>
      <c r="Q1605" t="n">
        <v>-100</v>
      </c>
      <c r="R1605" t="n">
        <v>0.1035</v>
      </c>
      <c r="S1605">
        <f>IMAGE("https://mitra.stanford.edu/kundaje/oak/projects/neuro-variants/variant_position/credible/roussos_2024/variant_figures/roussos_2024.childhood.Astrocyte/rs2942169_count_position.png",4,220,900)</f>
        <v/>
      </c>
      <c r="T1605">
        <f>IMAGE("https://mitra.stanford.edu/kundaje/oak/projects/neuro-variants/variant_position/credible/roussos_2024/variant_figures/roussos_2024.childhood.Astrocyte/rs2942169_profile_position.png",4,220,900)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0.0822475218</v>
      </c>
      <c r="G1606" t="n">
        <v>0.099758343364983</v>
      </c>
      <c r="H1606" t="n">
        <v>0.0126956077615606</v>
      </c>
      <c r="I1606" t="n">
        <v>0.455500388340988</v>
      </c>
      <c r="J1606" t="n">
        <v>0.2269896880462243</v>
      </c>
      <c r="K1606" t="n">
        <v>0.1791984117354675</v>
      </c>
      <c r="L1606" t="b">
        <v>0</v>
      </c>
      <c r="M1606" t="b">
        <v>0</v>
      </c>
      <c r="N1606" t="inlineStr">
        <is>
          <t>alt</t>
        </is>
      </c>
      <c r="O1606" t="n">
        <v>100</v>
      </c>
      <c r="P1606" t="n">
        <v>0.01927</v>
      </c>
      <c r="Q1606" t="n">
        <v>100</v>
      </c>
      <c r="R1606" t="n">
        <v>0.3052</v>
      </c>
      <c r="S1606">
        <f>IMAGE("https://mitra.stanford.edu/kundaje/oak/projects/neuro-variants/variant_position/credible/roussos_2024/variant_figures/roussos_2024.childhood.Astrocyte/rs241041_count_position.png",4,220,900)</f>
        <v/>
      </c>
      <c r="T1606">
        <f>IMAGE("https://mitra.stanford.edu/kundaje/oak/projects/neuro-variants/variant_position/credible/roussos_2024/variant_figures/roussos_2024.childhood.Astrocyte/rs241041_profile_position.png",4,220,900)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-0.0018222957799999</v>
      </c>
      <c r="G1607" t="n">
        <v>0.8614486322052149</v>
      </c>
      <c r="H1607" t="n">
        <v>0.0402304392641071</v>
      </c>
      <c r="I1607" t="n">
        <v>0.0094216080202171</v>
      </c>
      <c r="J1607" t="n">
        <v>0.0042095059268927</v>
      </c>
      <c r="K1607" t="n">
        <v>0.7904795999595589</v>
      </c>
      <c r="L1607" t="b">
        <v>0</v>
      </c>
      <c r="M1607" t="b">
        <v>0</v>
      </c>
      <c r="N1607" t="inlineStr">
        <is>
          <t>ref</t>
        </is>
      </c>
      <c r="O1607" t="n">
        <v>85</v>
      </c>
      <c r="P1607" t="n">
        <v>0.006348</v>
      </c>
      <c r="Q1607" t="n">
        <v>-95</v>
      </c>
      <c r="R1607" t="n">
        <v>0.1084</v>
      </c>
      <c r="S1607">
        <f>IMAGE("https://mitra.stanford.edu/kundaje/oak/projects/neuro-variants/variant_position/credible/roussos_2024/variant_figures/roussos_2024.childhood.Astrocyte/rs117368197_count_position.png",4,220,900)</f>
        <v/>
      </c>
      <c r="T1607">
        <f>IMAGE("https://mitra.stanford.edu/kundaje/oak/projects/neuro-variants/variant_position/credible/roussos_2024/variant_figures/roussos_2024.childhood.Astrocyte/rs117368197_profile_position.png",4,220,900)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0.0502590964</v>
      </c>
      <c r="G1608" t="n">
        <v>0.2163330831927127</v>
      </c>
      <c r="H1608" t="n">
        <v>0.0130083337429448</v>
      </c>
      <c r="I1608" t="n">
        <v>0.4306843591210567</v>
      </c>
      <c r="J1608" t="n">
        <v>0.0888728599451962</v>
      </c>
      <c r="K1608" t="n">
        <v>0.3455661222972296</v>
      </c>
      <c r="L1608" t="b">
        <v>0</v>
      </c>
      <c r="M1608" t="b">
        <v>0</v>
      </c>
      <c r="N1608" t="inlineStr">
        <is>
          <t>alt</t>
        </is>
      </c>
      <c r="O1608" t="n">
        <v>-75</v>
      </c>
      <c r="P1608" t="n">
        <v>0.01048</v>
      </c>
      <c r="Q1608" t="n">
        <v>-20</v>
      </c>
      <c r="R1608" t="n">
        <v>0.0525</v>
      </c>
      <c r="S1608">
        <f>IMAGE("https://mitra.stanford.edu/kundaje/oak/projects/neuro-variants/variant_position/credible/roussos_2024/variant_figures/roussos_2024.childhood.Astrocyte/rs413778_count_position.png",4,220,900)</f>
        <v/>
      </c>
      <c r="T1608">
        <f>IMAGE("https://mitra.stanford.edu/kundaje/oak/projects/neuro-variants/variant_position/credible/roussos_2024/variant_figures/roussos_2024.childhood.Astrocyte/rs413778_profile_position.png",4,220,900)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-0.0835556709999999</v>
      </c>
      <c r="G1609" t="n">
        <v>0.0992594489608163</v>
      </c>
      <c r="H1609" t="n">
        <v>0.0129693732340453</v>
      </c>
      <c r="I1609" t="n">
        <v>0.4353430176884357</v>
      </c>
      <c r="J1609" t="n">
        <v>0.0194583743597963</v>
      </c>
      <c r="K1609" t="n">
        <v>0.5923880130006217</v>
      </c>
      <c r="L1609" t="b">
        <v>0</v>
      </c>
      <c r="M1609" t="b">
        <v>0</v>
      </c>
      <c r="N1609" t="inlineStr">
        <is>
          <t>ref</t>
        </is>
      </c>
      <c r="O1609" t="n">
        <v>100</v>
      </c>
      <c r="P1609" t="n">
        <v>0.02968</v>
      </c>
      <c r="Q1609" t="n">
        <v>100</v>
      </c>
      <c r="R1609" t="n">
        <v>0.1254</v>
      </c>
      <c r="S1609">
        <f>IMAGE("https://mitra.stanford.edu/kundaje/oak/projects/neuro-variants/variant_position/credible/roussos_2024/variant_figures/roussos_2024.childhood.Astrocyte/rs413917_count_position.png",4,220,900)</f>
        <v/>
      </c>
      <c r="T1609">
        <f>IMAGE("https://mitra.stanford.edu/kundaje/oak/projects/neuro-variants/variant_position/credible/roussos_2024/variant_figures/roussos_2024.childhood.Astrocyte/rs413917_profile_position.png",4,220,900)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0.0208924908</v>
      </c>
      <c r="G1610" t="n">
        <v>0.5015554174854677</v>
      </c>
      <c r="H1610" t="n">
        <v>0.015949062992131</v>
      </c>
      <c r="I1610" t="n">
        <v>0.2590485002952361</v>
      </c>
      <c r="J1610" t="n">
        <v>0.222435178188424</v>
      </c>
      <c r="K1610" t="n">
        <v>0.1824280674671617</v>
      </c>
      <c r="L1610" t="b">
        <v>0</v>
      </c>
      <c r="M1610" t="b">
        <v>0</v>
      </c>
      <c r="N1610" t="inlineStr">
        <is>
          <t>alt</t>
        </is>
      </c>
      <c r="O1610" t="n">
        <v>95</v>
      </c>
      <c r="P1610" t="n">
        <v>0.00756</v>
      </c>
      <c r="Q1610" t="n">
        <v>95</v>
      </c>
      <c r="R1610" t="n">
        <v>0.233</v>
      </c>
      <c r="S1610">
        <f>IMAGE("https://mitra.stanford.edu/kundaje/oak/projects/neuro-variants/variant_position/credible/roussos_2024/variant_figures/roussos_2024.childhood.Astrocyte/rs393675_count_position.png",4,220,900)</f>
        <v/>
      </c>
      <c r="T1610">
        <f>IMAGE("https://mitra.stanford.edu/kundaje/oak/projects/neuro-variants/variant_position/credible/roussos_2024/variant_figures/roussos_2024.childhood.Astrocyte/rs393675_profile_position.png",4,220,900)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0.1316096969999999</v>
      </c>
      <c r="G1611" t="n">
        <v>0.0420247420168293</v>
      </c>
      <c r="H1611" t="n">
        <v>0.0214134654744812</v>
      </c>
      <c r="I1611" t="n">
        <v>0.1032021774044132</v>
      </c>
      <c r="J1611" t="n">
        <v>0.7018555410531779</v>
      </c>
      <c r="K1611" t="n">
        <v>0.0178723320217049</v>
      </c>
      <c r="L1611" t="b">
        <v>0</v>
      </c>
      <c r="M1611" t="b">
        <v>0</v>
      </c>
      <c r="N1611" t="inlineStr">
        <is>
          <t>alt</t>
        </is>
      </c>
      <c r="O1611" t="n">
        <v>95</v>
      </c>
      <c r="P1611" t="n">
        <v>0.0188</v>
      </c>
      <c r="Q1611" t="n">
        <v>95</v>
      </c>
      <c r="R1611" t="n">
        <v>0.3477</v>
      </c>
      <c r="S1611">
        <f>IMAGE("https://mitra.stanford.edu/kundaje/oak/projects/neuro-variants/variant_position/credible/roussos_2024/variant_figures/roussos_2024.childhood.Astrocyte/rs434598_count_position.png",4,220,900)</f>
        <v/>
      </c>
      <c r="T1611">
        <f>IMAGE("https://mitra.stanford.edu/kundaje/oak/projects/neuro-variants/variant_position/credible/roussos_2024/variant_figures/roussos_2024.childhood.Astrocyte/rs434598_profile_position.png",4,220,900)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-0.07235995100000001</v>
      </c>
      <c r="G1612" t="n">
        <v>0.1275670405908821</v>
      </c>
      <c r="H1612" t="n">
        <v>0.0202373321591639</v>
      </c>
      <c r="I1612" t="n">
        <v>0.1195582284100774</v>
      </c>
      <c r="J1612" t="n">
        <v>0.6734308809049484</v>
      </c>
      <c r="K1612" t="n">
        <v>0.0216240229603125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0.03683</v>
      </c>
      <c r="Q1612" t="n">
        <v>-95</v>
      </c>
      <c r="R1612" t="n">
        <v>0.4976</v>
      </c>
      <c r="S1612">
        <f>IMAGE("https://mitra.stanford.edu/kundaje/oak/projects/neuro-variants/variant_position/credible/roussos_2024/variant_figures/roussos_2024.childhood.Astrocyte/rs434971_count_position.png",4,220,900)</f>
        <v/>
      </c>
      <c r="T1612">
        <f>IMAGE("https://mitra.stanford.edu/kundaje/oak/projects/neuro-variants/variant_position/credible/roussos_2024/variant_figures/roussos_2024.childhood.Astrocyte/rs434971_profile_position.png",4,220,900)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-0.0849240802</v>
      </c>
      <c r="G1613" t="n">
        <v>0.095281170659824</v>
      </c>
      <c r="H1613" t="n">
        <v>0.0128932704286486</v>
      </c>
      <c r="I1613" t="n">
        <v>0.4396180459735725</v>
      </c>
      <c r="J1613" t="n">
        <v>0.1219482036133818</v>
      </c>
      <c r="K1613" t="n">
        <v>0.2926344440072767</v>
      </c>
      <c r="L1613" t="b">
        <v>0</v>
      </c>
      <c r="M1613" t="b">
        <v>0</v>
      </c>
      <c r="N1613" t="inlineStr">
        <is>
          <t>ref</t>
        </is>
      </c>
      <c r="O1613" t="n">
        <v>-100</v>
      </c>
      <c r="P1613" t="n">
        <v>0.00494</v>
      </c>
      <c r="Q1613" t="n">
        <v>-100</v>
      </c>
      <c r="R1613" t="n">
        <v>0.07385</v>
      </c>
      <c r="S1613">
        <f>IMAGE("https://mitra.stanford.edu/kundaje/oak/projects/neuro-variants/variant_position/credible/roussos_2024/variant_figures/roussos_2024.childhood.Astrocyte/rs422112_count_position.png",4,220,900)</f>
        <v/>
      </c>
      <c r="T1613">
        <f>IMAGE("https://mitra.stanford.edu/kundaje/oak/projects/neuro-variants/variant_position/credible/roussos_2024/variant_figures/roussos_2024.childhood.Astrocyte/rs422112_profile_position.png",4,220,900)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-0.00322668402</v>
      </c>
      <c r="G1614" t="n">
        <v>0.7712017067301329</v>
      </c>
      <c r="H1614" t="n">
        <v>0.007990284654277599</v>
      </c>
      <c r="I1614" t="n">
        <v>0.9037883731755564</v>
      </c>
      <c r="J1614" t="n">
        <v>0.0050384313007105</v>
      </c>
      <c r="K1614" t="n">
        <v>0.7809126024344827</v>
      </c>
      <c r="L1614" t="b">
        <v>0</v>
      </c>
      <c r="M1614" t="b">
        <v>0</v>
      </c>
      <c r="N1614" t="inlineStr">
        <is>
          <t>ref</t>
        </is>
      </c>
      <c r="O1614" t="n">
        <v>90</v>
      </c>
      <c r="P1614" t="n">
        <v>0.004036</v>
      </c>
      <c r="Q1614" t="n">
        <v>35</v>
      </c>
      <c r="R1614" t="n">
        <v>0.11334</v>
      </c>
      <c r="S1614">
        <f>IMAGE("https://mitra.stanford.edu/kundaje/oak/projects/neuro-variants/variant_position/credible/roussos_2024/variant_figures/roussos_2024.childhood.Astrocyte/rs241032_count_position.png",4,220,900)</f>
        <v/>
      </c>
      <c r="T1614">
        <f>IMAGE("https://mitra.stanford.edu/kundaje/oak/projects/neuro-variants/variant_position/credible/roussos_2024/variant_figures/roussos_2024.childhood.Astrocyte/rs241032_profile_position.png",4,220,900)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0.13203445</v>
      </c>
      <c r="G1615" t="n">
        <v>0.0403765292970157</v>
      </c>
      <c r="H1615" t="n">
        <v>0.0187780783752248</v>
      </c>
      <c r="I1615" t="n">
        <v>0.1605478448890293</v>
      </c>
      <c r="J1615" t="n">
        <v>0.0071443291887064</v>
      </c>
      <c r="K1615" t="n">
        <v>0.7386601934803918</v>
      </c>
      <c r="L1615" t="b">
        <v>0</v>
      </c>
      <c r="M1615" t="b">
        <v>0</v>
      </c>
      <c r="N1615" t="inlineStr">
        <is>
          <t>alt</t>
        </is>
      </c>
      <c r="O1615" t="n">
        <v>100</v>
      </c>
      <c r="P1615" t="n">
        <v>0.01653</v>
      </c>
      <c r="Q1615" t="n">
        <v>-70</v>
      </c>
      <c r="R1615" t="n">
        <v>0.02863</v>
      </c>
      <c r="S1615">
        <f>IMAGE("https://mitra.stanford.edu/kundaje/oak/projects/neuro-variants/variant_position/credible/roussos_2024/variant_figures/roussos_2024.childhood.Astrocyte/rs241031_count_position.png",4,220,900)</f>
        <v/>
      </c>
      <c r="T1615">
        <f>IMAGE("https://mitra.stanford.edu/kundaje/oak/projects/neuro-variants/variant_position/credible/roussos_2024/variant_figures/roussos_2024.childhood.Astrocyte/rs241031_profile_position.png",4,220,900)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-0.0183439102</v>
      </c>
      <c r="G1616" t="n">
        <v>0.5208632738474578</v>
      </c>
      <c r="H1616" t="n">
        <v>0.0074377023181139</v>
      </c>
      <c r="I1616" t="n">
        <v>0.9070762579154876</v>
      </c>
      <c r="J1616" t="n">
        <v>0.4742498835993374</v>
      </c>
      <c r="K1616" t="n">
        <v>0.06118035151869</v>
      </c>
      <c r="L1616" t="b">
        <v>0</v>
      </c>
      <c r="M1616" t="b">
        <v>0</v>
      </c>
      <c r="N1616" t="inlineStr">
        <is>
          <t>ref</t>
        </is>
      </c>
      <c r="O1616" t="n">
        <v>100</v>
      </c>
      <c r="P1616" t="n">
        <v>0.014084</v>
      </c>
      <c r="Q1616" t="n">
        <v>35</v>
      </c>
      <c r="R1616" t="n">
        <v>0.1227</v>
      </c>
      <c r="S1616">
        <f>IMAGE("https://mitra.stanford.edu/kundaje/oak/projects/neuro-variants/variant_position/credible/roussos_2024/variant_figures/roussos_2024.childhood.Astrocyte/rs241022_count_position.png",4,220,900)</f>
        <v/>
      </c>
      <c r="T1616">
        <f>IMAGE("https://mitra.stanford.edu/kundaje/oak/projects/neuro-variants/variant_position/credible/roussos_2024/variant_figures/roussos_2024.childhood.Astrocyte/rs241022_profile_position.png",4,220,900)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-0.0251045677999999</v>
      </c>
      <c r="G1617" t="n">
        <v>0.2915441016001505</v>
      </c>
      <c r="H1617" t="n">
        <v>0.0112521331462162</v>
      </c>
      <c r="I1617" t="n">
        <v>0.5843296626401883</v>
      </c>
      <c r="J1617" t="n">
        <v>0.2031523589262134</v>
      </c>
      <c r="K1617" t="n">
        <v>0.1992932995560597</v>
      </c>
      <c r="L1617" t="b">
        <v>0</v>
      </c>
      <c r="M1617" t="b">
        <v>0</v>
      </c>
      <c r="N1617" t="inlineStr">
        <is>
          <t>ref</t>
        </is>
      </c>
      <c r="O1617" t="n">
        <v>-100</v>
      </c>
      <c r="P1617" t="n">
        <v>0.001228</v>
      </c>
      <c r="Q1617" t="n">
        <v>70</v>
      </c>
      <c r="R1617" t="n">
        <v>0.1616</v>
      </c>
      <c r="S1617">
        <f>IMAGE("https://mitra.stanford.edu/kundaje/oak/projects/neuro-variants/variant_position/credible/roussos_2024/variant_figures/roussos_2024.childhood.Astrocyte/rs241020_count_position.png",4,220,900)</f>
        <v/>
      </c>
      <c r="T1617">
        <f>IMAGE("https://mitra.stanford.edu/kundaje/oak/projects/neuro-variants/variant_position/credible/roussos_2024/variant_figures/roussos_2024.childhood.Astrocyte/rs241020_profile_position.png",4,220,900)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-0.0197647650999999</v>
      </c>
      <c r="G1618" t="n">
        <v>0.5449173910237284</v>
      </c>
      <c r="H1618" t="n">
        <v>0.0360770636102667</v>
      </c>
      <c r="I1618" t="n">
        <v>0.0152818121479416</v>
      </c>
      <c r="J1618" t="n">
        <v>0.0244410859990992</v>
      </c>
      <c r="K1618" t="n">
        <v>0.559930621142924</v>
      </c>
      <c r="L1618" t="b">
        <v>1</v>
      </c>
      <c r="M1618" t="b">
        <v>0</v>
      </c>
      <c r="N1618" t="inlineStr">
        <is>
          <t>ref</t>
        </is>
      </c>
      <c r="O1618" t="n">
        <v>-95</v>
      </c>
      <c r="P1618" t="n">
        <v>0.00291</v>
      </c>
      <c r="Q1618" t="n">
        <v>-70</v>
      </c>
      <c r="R1618" t="n">
        <v>0.10706</v>
      </c>
      <c r="S1618">
        <f>IMAGE("https://mitra.stanford.edu/kundaje/oak/projects/neuro-variants/variant_position/credible/roussos_2024/variant_figures/roussos_2024.childhood.Astrocyte/rs79675109_count_position.png",4,220,900)</f>
        <v/>
      </c>
      <c r="T1618">
        <f>IMAGE("https://mitra.stanford.edu/kundaje/oak/projects/neuro-variants/variant_position/credible/roussos_2024/variant_figures/roussos_2024.childhood.Astrocyte/rs79675109_profile_position.png",4,220,900)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0.262781292</v>
      </c>
      <c r="G1619" t="n">
        <v>0.009059636670320099</v>
      </c>
      <c r="H1619" t="n">
        <v>0.027298274527826</v>
      </c>
      <c r="I1619" t="n">
        <v>0.0453536623339847</v>
      </c>
      <c r="J1619" t="n">
        <v>0.1755680733972964</v>
      </c>
      <c r="K1619" t="n">
        <v>0.2338515508406259</v>
      </c>
      <c r="L1619" t="b">
        <v>1</v>
      </c>
      <c r="M1619" t="b">
        <v>1</v>
      </c>
      <c r="N1619" t="inlineStr">
        <is>
          <t>alt</t>
        </is>
      </c>
      <c r="O1619" t="n">
        <v>65</v>
      </c>
      <c r="P1619" t="n">
        <v>0.008545000000000001</v>
      </c>
      <c r="Q1619" t="n">
        <v>-100</v>
      </c>
      <c r="R1619" t="n">
        <v>0.0669</v>
      </c>
      <c r="S1619">
        <f>IMAGE("https://mitra.stanford.edu/kundaje/oak/projects/neuro-variants/variant_position/credible/roussos_2024/variant_figures/roussos_2024.childhood.Astrocyte/rs62053950_count_position.png",4,220,900)</f>
        <v/>
      </c>
      <c r="T1619">
        <f>IMAGE("https://mitra.stanford.edu/kundaje/oak/projects/neuro-variants/variant_position/credible/roussos_2024/variant_figures/roussos_2024.childhood.Astrocyte/rs62053950_profile_position.png",4,220,900)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0.1355542302</v>
      </c>
      <c r="G1620" t="n">
        <v>0.0562100794630239</v>
      </c>
      <c r="H1620" t="n">
        <v>0.0186651210578851</v>
      </c>
      <c r="I1620" t="n">
        <v>0.1767727913951055</v>
      </c>
      <c r="J1620" t="n">
        <v>0.2340775342904902</v>
      </c>
      <c r="K1620" t="n">
        <v>0.1761325241636541</v>
      </c>
      <c r="L1620" t="b">
        <v>0</v>
      </c>
      <c r="M1620" t="b">
        <v>0</v>
      </c>
      <c r="N1620" t="inlineStr">
        <is>
          <t>alt</t>
        </is>
      </c>
      <c r="O1620" t="n">
        <v>-65</v>
      </c>
      <c r="P1620" t="n">
        <v>0.01308</v>
      </c>
      <c r="Q1620" t="n">
        <v>-45</v>
      </c>
      <c r="R1620" t="n">
        <v>0.197</v>
      </c>
      <c r="S1620">
        <f>IMAGE("https://mitra.stanford.edu/kundaje/oak/projects/neuro-variants/variant_position/credible/roussos_2024/variant_figures/roussos_2024.childhood.Astrocyte/rs62053953_count_position.png",4,220,900)</f>
        <v/>
      </c>
      <c r="T1620">
        <f>IMAGE("https://mitra.stanford.edu/kundaje/oak/projects/neuro-variants/variant_position/credible/roussos_2024/variant_figures/roussos_2024.childhood.Astrocyte/rs62053953_profile_position.png",4,220,900)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0.0569086014</v>
      </c>
      <c r="G1621" t="n">
        <v>0.1737607531427765</v>
      </c>
      <c r="H1621" t="n">
        <v>0.0102777649826081</v>
      </c>
      <c r="I1621" t="n">
        <v>0.686160045975548</v>
      </c>
      <c r="J1621" t="n">
        <v>0.2011846152671871</v>
      </c>
      <c r="K1621" t="n">
        <v>0.2030503038292927</v>
      </c>
      <c r="L1621" t="b">
        <v>0</v>
      </c>
      <c r="M1621" t="b">
        <v>0</v>
      </c>
      <c r="N1621" t="inlineStr">
        <is>
          <t>alt</t>
        </is>
      </c>
      <c r="O1621" t="n">
        <v>-55</v>
      </c>
      <c r="P1621" t="n">
        <v>0.00612</v>
      </c>
      <c r="Q1621" t="n">
        <v>-10</v>
      </c>
      <c r="R1621" t="n">
        <v>0.02972</v>
      </c>
      <c r="S1621">
        <f>IMAGE("https://mitra.stanford.edu/kundaje/oak/projects/neuro-variants/variant_position/credible/roussos_2024/variant_figures/roussos_2024.childhood.Astrocyte/rs17687534_count_position.png",4,220,900)</f>
        <v/>
      </c>
      <c r="T1621">
        <f>IMAGE("https://mitra.stanford.edu/kundaje/oak/projects/neuro-variants/variant_position/credible/roussos_2024/variant_figures/roussos_2024.childhood.Astrocyte/rs17687534_profile_position.png",4,220,900)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0.17624265</v>
      </c>
      <c r="G1622" t="n">
        <v>0.0218861871079205</v>
      </c>
      <c r="H1622" t="n">
        <v>0.0211369196596862</v>
      </c>
      <c r="I1622" t="n">
        <v>0.1061676524620464</v>
      </c>
      <c r="J1622" t="n">
        <v>0.1346034363002144</v>
      </c>
      <c r="K1622" t="n">
        <v>0.2716550388700774</v>
      </c>
      <c r="L1622" t="b">
        <v>0</v>
      </c>
      <c r="M1622" t="b">
        <v>0</v>
      </c>
      <c r="N1622" t="inlineStr">
        <is>
          <t>alt</t>
        </is>
      </c>
      <c r="O1622" t="n">
        <v>-50</v>
      </c>
      <c r="P1622" t="n">
        <v>0.008670000000000001</v>
      </c>
      <c r="Q1622" t="n">
        <v>-40</v>
      </c>
      <c r="R1622" t="n">
        <v>0.171</v>
      </c>
      <c r="S1622">
        <f>IMAGE("https://mitra.stanford.edu/kundaje/oak/projects/neuro-variants/variant_position/credible/roussos_2024/variant_figures/roussos_2024.childhood.Astrocyte/rs1631850_count_position.png",4,220,900)</f>
        <v/>
      </c>
      <c r="T1622">
        <f>IMAGE("https://mitra.stanford.edu/kundaje/oak/projects/neuro-variants/variant_position/credible/roussos_2024/variant_figures/roussos_2024.childhood.Astrocyte/rs1631850_profile_position.png",4,220,900)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0.0302856668</v>
      </c>
      <c r="G1623" t="n">
        <v>0.3751774853570584</v>
      </c>
      <c r="H1623" t="n">
        <v>0.0112694680091328</v>
      </c>
      <c r="I1623" t="n">
        <v>0.5876979708016632</v>
      </c>
      <c r="J1623" t="n">
        <v>0.08357567569630479</v>
      </c>
      <c r="K1623" t="n">
        <v>0.3566371530477791</v>
      </c>
      <c r="L1623" t="b">
        <v>0</v>
      </c>
      <c r="M1623" t="b">
        <v>0</v>
      </c>
      <c r="N1623" t="inlineStr">
        <is>
          <t>alt</t>
        </is>
      </c>
      <c r="O1623" t="n">
        <v>-85</v>
      </c>
      <c r="P1623" t="n">
        <v>0.02719</v>
      </c>
      <c r="Q1623" t="n">
        <v>-75</v>
      </c>
      <c r="R1623" t="n">
        <v>0.1908</v>
      </c>
      <c r="S1623">
        <f>IMAGE("https://mitra.stanford.edu/kundaje/oak/projects/neuro-variants/variant_position/credible/roussos_2024/variant_figures/roussos_2024.childhood.Astrocyte/rs62053955_count_position.png",4,220,900)</f>
        <v/>
      </c>
      <c r="T1623">
        <f>IMAGE("https://mitra.stanford.edu/kundaje/oak/projects/neuro-variants/variant_position/credible/roussos_2024/variant_figures/roussos_2024.childhood.Astrocyte/rs62053955_profile_position.png",4,220,900)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0.00656127014</v>
      </c>
      <c r="G1624" t="n">
        <v>0.7436194845060252</v>
      </c>
      <c r="H1624" t="n">
        <v>0.009455448326713901</v>
      </c>
      <c r="I1624" t="n">
        <v>0.779566117938278</v>
      </c>
      <c r="J1624" t="n">
        <v>0.1577912115591582</v>
      </c>
      <c r="K1624" t="n">
        <v>0.2428480396989629</v>
      </c>
      <c r="L1624" t="b">
        <v>0</v>
      </c>
      <c r="M1624" t="b">
        <v>0</v>
      </c>
      <c r="N1624" t="inlineStr">
        <is>
          <t>alt</t>
        </is>
      </c>
      <c r="O1624" t="n">
        <v>100</v>
      </c>
      <c r="P1624" t="n">
        <v>0.01068</v>
      </c>
      <c r="Q1624" t="n">
        <v>10</v>
      </c>
      <c r="R1624" t="n">
        <v>0.03906</v>
      </c>
      <c r="S1624">
        <f>IMAGE("https://mitra.stanford.edu/kundaje/oak/projects/neuro-variants/variant_position/credible/roussos_2024/variant_figures/roussos_2024.childhood.Astrocyte/rs62055662_count_position.png",4,220,900)</f>
        <v/>
      </c>
      <c r="T1624">
        <f>IMAGE("https://mitra.stanford.edu/kundaje/oak/projects/neuro-variants/variant_position/credible/roussos_2024/variant_figures/roussos_2024.childhood.Astrocyte/rs62055662_profile_position.png",4,220,900)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0.013627531</v>
      </c>
      <c r="G1625" t="n">
        <v>0.5876539155181795</v>
      </c>
      <c r="H1625" t="n">
        <v>0.0103022795747597</v>
      </c>
      <c r="I1625" t="n">
        <v>0.6882550348573745</v>
      </c>
      <c r="J1625" t="n">
        <v>0.5792570202956957</v>
      </c>
      <c r="K1625" t="n">
        <v>0.0370287544476687</v>
      </c>
      <c r="L1625" t="b">
        <v>0</v>
      </c>
      <c r="M1625" t="b">
        <v>0</v>
      </c>
      <c r="N1625" t="inlineStr">
        <is>
          <t>alt</t>
        </is>
      </c>
      <c r="O1625" t="n">
        <v>100</v>
      </c>
      <c r="P1625" t="n">
        <v>0.0756</v>
      </c>
      <c r="Q1625" t="n">
        <v>100</v>
      </c>
      <c r="R1625" t="n">
        <v>0.8086</v>
      </c>
      <c r="S1625">
        <f>IMAGE("https://mitra.stanford.edu/kundaje/oak/projects/neuro-variants/variant_position/credible/roussos_2024/variant_figures/roussos_2024.childhood.Astrocyte/rs757500_count_position.png",4,220,900)</f>
        <v/>
      </c>
      <c r="T1625">
        <f>IMAGE("https://mitra.stanford.edu/kundaje/oak/projects/neuro-variants/variant_position/credible/roussos_2024/variant_figures/roussos_2024.childhood.Astrocyte/rs757500_profile_position.png",4,220,900)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0.0339748708</v>
      </c>
      <c r="G1626" t="n">
        <v>0.3294008696946033</v>
      </c>
      <c r="H1626" t="n">
        <v>0.0113459144812805</v>
      </c>
      <c r="I1626" t="n">
        <v>0.5724573436864553</v>
      </c>
      <c r="J1626" t="n">
        <v>0.6207422164212713</v>
      </c>
      <c r="K1626" t="n">
        <v>0.0292704407829111</v>
      </c>
      <c r="L1626" t="b">
        <v>0</v>
      </c>
      <c r="M1626" t="b">
        <v>0</v>
      </c>
      <c r="N1626" t="inlineStr">
        <is>
          <t>alt</t>
        </is>
      </c>
      <c r="O1626" t="n">
        <v>100</v>
      </c>
      <c r="P1626" t="n">
        <v>0.02243</v>
      </c>
      <c r="Q1626" t="n">
        <v>85</v>
      </c>
      <c r="R1626" t="n">
        <v>0.3276</v>
      </c>
      <c r="S1626">
        <f>IMAGE("https://mitra.stanford.edu/kundaje/oak/projects/neuro-variants/variant_position/credible/roussos_2024/variant_figures/roussos_2024.childhood.Astrocyte/rs62055693_count_position.png",4,220,900)</f>
        <v/>
      </c>
      <c r="T1626">
        <f>IMAGE("https://mitra.stanford.edu/kundaje/oak/projects/neuro-variants/variant_position/credible/roussos_2024/variant_figures/roussos_2024.childhood.Astrocyte/rs62055693_profile_position.png",4,220,900)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0.0926242329999999</v>
      </c>
      <c r="G1627" t="n">
        <v>0.08508370921379731</v>
      </c>
      <c r="H1627" t="n">
        <v>0.0316351946393889</v>
      </c>
      <c r="I1627" t="n">
        <v>0.0256534375552021</v>
      </c>
      <c r="J1627" t="n">
        <v>0.1343530794653965</v>
      </c>
      <c r="K1627" t="n">
        <v>0.2712886853785814</v>
      </c>
      <c r="L1627" t="b">
        <v>0</v>
      </c>
      <c r="M1627" t="b">
        <v>0</v>
      </c>
      <c r="N1627" t="inlineStr">
        <is>
          <t>alt</t>
        </is>
      </c>
      <c r="O1627" t="n">
        <v>100</v>
      </c>
      <c r="P1627" t="n">
        <v>0.01362</v>
      </c>
      <c r="Q1627" t="n">
        <v>55</v>
      </c>
      <c r="R1627" t="n">
        <v>0.04965</v>
      </c>
      <c r="S1627">
        <f>IMAGE("https://mitra.stanford.edu/kundaje/oak/projects/neuro-variants/variant_position/credible/roussos_2024/variant_figures/roussos_2024.childhood.Astrocyte/rs17687849_count_position.png",4,220,900)</f>
        <v/>
      </c>
      <c r="T1627">
        <f>IMAGE("https://mitra.stanford.edu/kundaje/oak/projects/neuro-variants/variant_position/credible/roussos_2024/variant_figures/roussos_2024.childhood.Astrocyte/rs17687849_profile_position.png",4,220,900)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-0.0214650092</v>
      </c>
      <c r="G1628" t="n">
        <v>0.5076284321359114</v>
      </c>
      <c r="H1628" t="n">
        <v>0.0268622032586829</v>
      </c>
      <c r="I1628" t="n">
        <v>0.0450121156042115</v>
      </c>
      <c r="J1628" t="n">
        <v>0.0012937647409035</v>
      </c>
      <c r="K1628" t="n">
        <v>0.8849194276817344</v>
      </c>
      <c r="L1628" t="b">
        <v>0</v>
      </c>
      <c r="M1628" t="b">
        <v>0</v>
      </c>
      <c r="N1628" t="inlineStr">
        <is>
          <t>ref</t>
        </is>
      </c>
      <c r="O1628" t="n">
        <v>-100</v>
      </c>
      <c r="P1628" t="n">
        <v>0.00777</v>
      </c>
      <c r="Q1628" t="n">
        <v>0</v>
      </c>
      <c r="R1628" t="n">
        <v>0</v>
      </c>
      <c r="S1628">
        <f>IMAGE("https://mitra.stanford.edu/kundaje/oak/projects/neuro-variants/variant_position/credible/roussos_2024/variant_figures/roussos_2024.childhood.Astrocyte/rs62055706_count_position.png",4,220,900)</f>
        <v/>
      </c>
      <c r="T1628">
        <f>IMAGE("https://mitra.stanford.edu/kundaje/oak/projects/neuro-variants/variant_position/credible/roussos_2024/variant_figures/roussos_2024.childhood.Astrocyte/rs62055706_profile_position.png",4,220,900)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-0.040726646</v>
      </c>
      <c r="G1629" t="n">
        <v>0.3027027200546919</v>
      </c>
      <c r="H1629" t="n">
        <v>0.0108805799907256</v>
      </c>
      <c r="I1629" t="n">
        <v>0.6105229369254812</v>
      </c>
      <c r="J1629" t="n">
        <v>0.009917336447528</v>
      </c>
      <c r="K1629" t="n">
        <v>0.6945084557143109</v>
      </c>
      <c r="L1629" t="b">
        <v>0</v>
      </c>
      <c r="M1629" t="b">
        <v>0</v>
      </c>
      <c r="N1629" t="inlineStr">
        <is>
          <t>ref</t>
        </is>
      </c>
      <c r="O1629" t="n">
        <v>100</v>
      </c>
      <c r="P1629" t="n">
        <v>0.03287</v>
      </c>
      <c r="Q1629" t="n">
        <v>100</v>
      </c>
      <c r="R1629" t="n">
        <v>0.1492</v>
      </c>
      <c r="S1629">
        <f>IMAGE("https://mitra.stanford.edu/kundaje/oak/projects/neuro-variants/variant_position/credible/roussos_2024/variant_figures/roussos_2024.childhood.Astrocyte/rs2158474_count_position.png",4,220,900)</f>
        <v/>
      </c>
      <c r="T1629">
        <f>IMAGE("https://mitra.stanford.edu/kundaje/oak/projects/neuro-variants/variant_position/credible/roussos_2024/variant_figures/roussos_2024.childhood.Astrocyte/rs2158474_profile_position.png",4,220,900)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-0.0227733026</v>
      </c>
      <c r="G1630" t="n">
        <v>0.3887901652335863</v>
      </c>
      <c r="H1630" t="n">
        <v>0.0126170229496899</v>
      </c>
      <c r="I1630" t="n">
        <v>0.4627912119926203</v>
      </c>
      <c r="J1630" t="n">
        <v>0.0107218367642905</v>
      </c>
      <c r="K1630" t="n">
        <v>0.6840961713057805</v>
      </c>
      <c r="L1630" t="b">
        <v>0</v>
      </c>
      <c r="M1630" t="b">
        <v>0</v>
      </c>
      <c r="N1630" t="inlineStr">
        <is>
          <t>ref</t>
        </is>
      </c>
      <c r="O1630" t="n">
        <v>100</v>
      </c>
      <c r="P1630" t="n">
        <v>0.0565</v>
      </c>
      <c r="Q1630" t="n">
        <v>90</v>
      </c>
      <c r="R1630" t="n">
        <v>0.262</v>
      </c>
      <c r="S1630">
        <f>IMAGE("https://mitra.stanford.edu/kundaje/oak/projects/neuro-variants/variant_position/credible/roussos_2024/variant_figures/roussos_2024.childhood.Astrocyte/rs62055708_count_position.png",4,220,900)</f>
        <v/>
      </c>
      <c r="T1630">
        <f>IMAGE("https://mitra.stanford.edu/kundaje/oak/projects/neuro-variants/variant_position/credible/roussos_2024/variant_figures/roussos_2024.childhood.Astrocyte/rs62055708_profile_position.png",4,220,900)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-0.0311065408</v>
      </c>
      <c r="G1631" t="n">
        <v>0.3434525505202678</v>
      </c>
      <c r="H1631" t="n">
        <v>0.0138601123793737</v>
      </c>
      <c r="I1631" t="n">
        <v>0.3607273120128754</v>
      </c>
      <c r="J1631" t="n">
        <v>0.0267523070229671</v>
      </c>
      <c r="K1631" t="n">
        <v>0.545026851526638</v>
      </c>
      <c r="L1631" t="b">
        <v>0</v>
      </c>
      <c r="M1631" t="b">
        <v>0</v>
      </c>
      <c r="N1631" t="inlineStr">
        <is>
          <t>ref</t>
        </is>
      </c>
      <c r="O1631" t="n">
        <v>85</v>
      </c>
      <c r="P1631" t="n">
        <v>0.00521</v>
      </c>
      <c r="Q1631" t="n">
        <v>-95</v>
      </c>
      <c r="R1631" t="n">
        <v>0.1296</v>
      </c>
      <c r="S1631">
        <f>IMAGE("https://mitra.stanford.edu/kundaje/oak/projects/neuro-variants/variant_position/credible/roussos_2024/variant_figures/roussos_2024.childhood.Astrocyte/rs62055714_count_position.png",4,220,900)</f>
        <v/>
      </c>
      <c r="T1631">
        <f>IMAGE("https://mitra.stanford.edu/kundaje/oak/projects/neuro-variants/variant_position/credible/roussos_2024/variant_figures/roussos_2024.childhood.Astrocyte/rs62055714_profile_position.png",4,220,900)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-0.0439517975999999</v>
      </c>
      <c r="G1632" t="n">
        <v>0.2777156411830182</v>
      </c>
      <c r="H1632" t="n">
        <v>0.0136313174435751</v>
      </c>
      <c r="I1632" t="n">
        <v>0.3812626988271928</v>
      </c>
      <c r="J1632" t="n">
        <v>0.2459038416035049</v>
      </c>
      <c r="K1632" t="n">
        <v>0.1649608191428981</v>
      </c>
      <c r="L1632" t="b">
        <v>0</v>
      </c>
      <c r="M1632" t="b">
        <v>0</v>
      </c>
      <c r="N1632" t="inlineStr">
        <is>
          <t>ref</t>
        </is>
      </c>
      <c r="O1632" t="n">
        <v>90</v>
      </c>
      <c r="P1632" t="n">
        <v>0.0061</v>
      </c>
      <c r="Q1632" t="n">
        <v>-35</v>
      </c>
      <c r="R1632" t="n">
        <v>0.0858</v>
      </c>
      <c r="S1632">
        <f>IMAGE("https://mitra.stanford.edu/kundaje/oak/projects/neuro-variants/variant_position/credible/roussos_2024/variant_figures/roussos_2024.childhood.Astrocyte/rs56323832_count_position.png",4,220,900)</f>
        <v/>
      </c>
      <c r="T1632">
        <f>IMAGE("https://mitra.stanford.edu/kundaje/oak/projects/neuro-variants/variant_position/credible/roussos_2024/variant_figures/roussos_2024.childhood.Astrocyte/rs56323832_profile_position.png",4,220,900)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0.0058143675999999</v>
      </c>
      <c r="G1633" t="n">
        <v>0.4256542149292573</v>
      </c>
      <c r="H1633" t="n">
        <v>0.0119372667430983</v>
      </c>
      <c r="I1633" t="n">
        <v>0.5234780358062582</v>
      </c>
      <c r="J1633" t="n">
        <v>0.0054750291955759</v>
      </c>
      <c r="K1633" t="n">
        <v>0.764155432761756</v>
      </c>
      <c r="L1633" t="b">
        <v>0</v>
      </c>
      <c r="M1633" t="b">
        <v>0</v>
      </c>
      <c r="N1633" t="inlineStr">
        <is>
          <t>alt</t>
        </is>
      </c>
      <c r="O1633" t="n">
        <v>-70</v>
      </c>
      <c r="P1633" t="n">
        <v>0.00929</v>
      </c>
      <c r="Q1633" t="n">
        <v>-95</v>
      </c>
      <c r="R1633" t="n">
        <v>0.0736</v>
      </c>
      <c r="S1633">
        <f>IMAGE("https://mitra.stanford.edu/kundaje/oak/projects/neuro-variants/variant_position/credible/roussos_2024/variant_figures/roussos_2024.childhood.Astrocyte/rs62056864_count_position.png",4,220,900)</f>
        <v/>
      </c>
      <c r="T1633">
        <f>IMAGE("https://mitra.stanford.edu/kundaje/oak/projects/neuro-variants/variant_position/credible/roussos_2024/variant_figures/roussos_2024.childhood.Astrocyte/rs62056864_profile_position.png",4,220,900)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0.1240486151999999</v>
      </c>
      <c r="G1634" t="n">
        <v>0.0481994429393669</v>
      </c>
      <c r="H1634" t="n">
        <v>0.0324402142149374</v>
      </c>
      <c r="I1634" t="n">
        <v>0.0228167549446316</v>
      </c>
      <c r="J1634" t="n">
        <v>0.14804027081282</v>
      </c>
      <c r="K1634" t="n">
        <v>0.2566036008589388</v>
      </c>
      <c r="L1634" t="b">
        <v>0</v>
      </c>
      <c r="M1634" t="b">
        <v>0</v>
      </c>
      <c r="N1634" t="inlineStr">
        <is>
          <t>alt</t>
        </is>
      </c>
      <c r="O1634" t="n">
        <v>-100</v>
      </c>
      <c r="P1634" t="n">
        <v>0.0105</v>
      </c>
      <c r="Q1634" t="n">
        <v>-15</v>
      </c>
      <c r="R1634" t="n">
        <v>0.09520000000000001</v>
      </c>
      <c r="S1634">
        <f>IMAGE("https://mitra.stanford.edu/kundaje/oak/projects/neuro-variants/variant_position/credible/roussos_2024/variant_figures/roussos_2024.childhood.Astrocyte/rs56200760_count_position.png",4,220,900)</f>
        <v/>
      </c>
      <c r="T1634">
        <f>IMAGE("https://mitra.stanford.edu/kundaje/oak/projects/neuro-variants/variant_position/credible/roussos_2024/variant_figures/roussos_2024.childhood.Astrocyte/rs56200760_profile_position.png",4,220,900)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0.1964263</v>
      </c>
      <c r="G1635" t="n">
        <v>0.0182123338077954</v>
      </c>
      <c r="H1635" t="n">
        <v>0.0328105410105255</v>
      </c>
      <c r="I1635" t="n">
        <v>0.0216512202196937</v>
      </c>
      <c r="J1635" t="n">
        <v>0.2088029432193751</v>
      </c>
      <c r="K1635" t="n">
        <v>0.1951686255931423</v>
      </c>
      <c r="L1635" t="b">
        <v>1</v>
      </c>
      <c r="M1635" t="b">
        <v>0</v>
      </c>
      <c r="N1635" t="inlineStr">
        <is>
          <t>alt</t>
        </is>
      </c>
      <c r="O1635" t="n">
        <v>35</v>
      </c>
      <c r="P1635" t="n">
        <v>0.002205</v>
      </c>
      <c r="Q1635" t="n">
        <v>45</v>
      </c>
      <c r="R1635" t="n">
        <v>0.125</v>
      </c>
      <c r="S1635">
        <f>IMAGE("https://mitra.stanford.edu/kundaje/oak/projects/neuro-variants/variant_position/credible/roussos_2024/variant_figures/roussos_2024.childhood.Astrocyte/rs17688391_count_position.png",4,220,900)</f>
        <v/>
      </c>
      <c r="T1635">
        <f>IMAGE("https://mitra.stanford.edu/kundaje/oak/projects/neuro-variants/variant_position/credible/roussos_2024/variant_figures/roussos_2024.childhood.Astrocyte/rs17688391_profile_position.png",4,220,900)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0.186196726</v>
      </c>
      <c r="G1636" t="n">
        <v>0.0208650698093706</v>
      </c>
      <c r="H1636" t="n">
        <v>0.0416119754175301</v>
      </c>
      <c r="I1636" t="n">
        <v>0.008927164478090799</v>
      </c>
      <c r="J1636" t="n">
        <v>0.2494851655942539</v>
      </c>
      <c r="K1636" t="n">
        <v>0.1634256142436832</v>
      </c>
      <c r="L1636" t="b">
        <v>1</v>
      </c>
      <c r="M1636" t="b">
        <v>1</v>
      </c>
      <c r="N1636" t="inlineStr">
        <is>
          <t>alt</t>
        </is>
      </c>
      <c r="O1636" t="n">
        <v>-60</v>
      </c>
      <c r="P1636" t="n">
        <v>0.004047</v>
      </c>
      <c r="Q1636" t="n">
        <v>-95</v>
      </c>
      <c r="R1636" t="n">
        <v>0.292</v>
      </c>
      <c r="S1636">
        <f>IMAGE("https://mitra.stanford.edu/kundaje/oak/projects/neuro-variants/variant_position/credible/roussos_2024/variant_figures/roussos_2024.childhood.Astrocyte/rs17688410_count_position.png",4,220,900)</f>
        <v/>
      </c>
      <c r="T1636">
        <f>IMAGE("https://mitra.stanford.edu/kundaje/oak/projects/neuro-variants/variant_position/credible/roussos_2024/variant_figures/roussos_2024.childhood.Astrocyte/rs17688410_profile_position.png",4,220,900)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0.0279477790359999</v>
      </c>
      <c r="G1637" t="n">
        <v>0.4365159948354473</v>
      </c>
      <c r="H1637" t="n">
        <v>0.009698751090571899</v>
      </c>
      <c r="I1637" t="n">
        <v>0.7496691575071081</v>
      </c>
      <c r="J1637" t="n">
        <v>0.0096875882546006</v>
      </c>
      <c r="K1637" t="n">
        <v>0.7235966627542717</v>
      </c>
      <c r="L1637" t="b">
        <v>0</v>
      </c>
      <c r="M1637" t="b">
        <v>0</v>
      </c>
      <c r="N1637" t="inlineStr">
        <is>
          <t>alt</t>
        </is>
      </c>
      <c r="O1637" t="n">
        <v>95</v>
      </c>
      <c r="P1637" t="n">
        <v>0.01582</v>
      </c>
      <c r="Q1637" t="n">
        <v>-30</v>
      </c>
      <c r="R1637" t="n">
        <v>0.0502</v>
      </c>
      <c r="S1637">
        <f>IMAGE("https://mitra.stanford.edu/kundaje/oak/projects/neuro-variants/variant_position/credible/roussos_2024/variant_figures/roussos_2024.childhood.Astrocyte/rs17688558_count_position.png",4,220,900)</f>
        <v/>
      </c>
      <c r="T1637">
        <f>IMAGE("https://mitra.stanford.edu/kundaje/oak/projects/neuro-variants/variant_position/credible/roussos_2024/variant_figures/roussos_2024.childhood.Astrocyte/rs17688558_profile_position.png",4,220,900)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0.0589355585999999</v>
      </c>
      <c r="G1638" t="n">
        <v>0.1680236721625438</v>
      </c>
      <c r="H1638" t="n">
        <v>0.020114469179444</v>
      </c>
      <c r="I1638" t="n">
        <v>0.1241091143039183</v>
      </c>
      <c r="J1638" t="n">
        <v>0.0815071786769251</v>
      </c>
      <c r="K1638" t="n">
        <v>0.402218385697815</v>
      </c>
      <c r="L1638" t="b">
        <v>0</v>
      </c>
      <c r="M1638" t="b">
        <v>0</v>
      </c>
      <c r="N1638" t="inlineStr">
        <is>
          <t>alt</t>
        </is>
      </c>
      <c r="O1638" t="n">
        <v>30</v>
      </c>
      <c r="P1638" t="n">
        <v>0.006134</v>
      </c>
      <c r="Q1638" t="n">
        <v>40</v>
      </c>
      <c r="R1638" t="n">
        <v>0.2019</v>
      </c>
      <c r="S1638">
        <f>IMAGE("https://mitra.stanford.edu/kundaje/oak/projects/neuro-variants/variant_position/credible/roussos_2024/variant_figures/roussos_2024.childhood.Astrocyte/rs56162163_count_position.png",4,220,900)</f>
        <v/>
      </c>
      <c r="T1638">
        <f>IMAGE("https://mitra.stanford.edu/kundaje/oak/projects/neuro-variants/variant_position/credible/roussos_2024/variant_figures/roussos_2024.childhood.Astrocyte/rs56162163_profile_position.png",4,220,900)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0.0435169942</v>
      </c>
      <c r="G1639" t="n">
        <v>0.2702198072570713</v>
      </c>
      <c r="H1639" t="n">
        <v>0.0311375058234129</v>
      </c>
      <c r="I1639" t="n">
        <v>0.0255509617005052</v>
      </c>
      <c r="J1639" t="n">
        <v>0.09176112294199811</v>
      </c>
      <c r="K1639" t="n">
        <v>0.3668489400463344</v>
      </c>
      <c r="L1639" t="b">
        <v>0</v>
      </c>
      <c r="M1639" t="b">
        <v>0</v>
      </c>
      <c r="N1639" t="inlineStr">
        <is>
          <t>alt</t>
        </is>
      </c>
      <c r="O1639" t="n">
        <v>-100</v>
      </c>
      <c r="P1639" t="n">
        <v>0.007187</v>
      </c>
      <c r="Q1639" t="n">
        <v>-100</v>
      </c>
      <c r="R1639" t="n">
        <v>0.2876</v>
      </c>
      <c r="S1639">
        <f>IMAGE("https://mitra.stanford.edu/kundaje/oak/projects/neuro-variants/variant_position/credible/roussos_2024/variant_figures/roussos_2024.childhood.Astrocyte/rs56391096_count_position.png",4,220,900)</f>
        <v/>
      </c>
      <c r="T1639">
        <f>IMAGE("https://mitra.stanford.edu/kundaje/oak/projects/neuro-variants/variant_position/credible/roussos_2024/variant_figures/roussos_2024.childhood.Astrocyte/rs56391096_profile_position.png",4,220,900)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-0.0005750016599999</v>
      </c>
      <c r="G1640" t="n">
        <v>0.8092010920988938</v>
      </c>
      <c r="H1640" t="n">
        <v>0.012480899361999</v>
      </c>
      <c r="I1640" t="n">
        <v>0.473623623638544</v>
      </c>
      <c r="J1640" t="n">
        <v>0.060639020555212</v>
      </c>
      <c r="K1640" t="n">
        <v>0.441962931751704</v>
      </c>
      <c r="L1640" t="b">
        <v>0</v>
      </c>
      <c r="M1640" t="b">
        <v>0</v>
      </c>
      <c r="N1640" t="inlineStr">
        <is>
          <t>ref</t>
        </is>
      </c>
      <c r="O1640" t="n">
        <v>-100</v>
      </c>
      <c r="P1640" t="n">
        <v>0.008569999999999999</v>
      </c>
      <c r="Q1640" t="n">
        <v>-100</v>
      </c>
      <c r="R1640" t="n">
        <v>0.1567</v>
      </c>
      <c r="S1640">
        <f>IMAGE("https://mitra.stanford.edu/kundaje/oak/projects/neuro-variants/variant_position/credible/roussos_2024/variant_figures/roussos_2024.childhood.Astrocyte/rs62056872_count_position.png",4,220,900)</f>
        <v/>
      </c>
      <c r="T1640">
        <f>IMAGE("https://mitra.stanford.edu/kundaje/oak/projects/neuro-variants/variant_position/credible/roussos_2024/variant_figures/roussos_2024.childhood.Astrocyte/rs62056872_profile_position.png",4,220,900)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0.07749229099999989</v>
      </c>
      <c r="G1641" t="n">
        <v>0.1137856780173365</v>
      </c>
      <c r="H1641" t="n">
        <v>0.0200681283593365</v>
      </c>
      <c r="I1641" t="n">
        <v>0.1354461559837655</v>
      </c>
      <c r="J1641" t="n">
        <v>0.0198682573485073</v>
      </c>
      <c r="K1641" t="n">
        <v>0.6094402017737172</v>
      </c>
      <c r="L1641" t="b">
        <v>0</v>
      </c>
      <c r="M1641" t="b">
        <v>0</v>
      </c>
      <c r="N1641" t="inlineStr">
        <is>
          <t>alt</t>
        </is>
      </c>
      <c r="O1641" t="n">
        <v>-60</v>
      </c>
      <c r="P1641" t="n">
        <v>0.003433</v>
      </c>
      <c r="Q1641" t="n">
        <v>-45</v>
      </c>
      <c r="R1641" t="n">
        <v>0.0658</v>
      </c>
      <c r="S1641">
        <f>IMAGE("https://mitra.stanford.edu/kundaje/oak/projects/neuro-variants/variant_position/credible/roussos_2024/variant_figures/roussos_2024.childhood.Astrocyte/rs12150608_count_position.png",4,220,900)</f>
        <v/>
      </c>
      <c r="T1641">
        <f>IMAGE("https://mitra.stanford.edu/kundaje/oak/projects/neuro-variants/variant_position/credible/roussos_2024/variant_figures/roussos_2024.childhood.Astrocyte/rs12150608_profile_position.png",4,220,900)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0.0406698966</v>
      </c>
      <c r="G1642" t="n">
        <v>0.2775344352391597</v>
      </c>
      <c r="H1642" t="n">
        <v>0.0111614093378324</v>
      </c>
      <c r="I1642" t="n">
        <v>0.5959256847906022</v>
      </c>
      <c r="J1642" t="n">
        <v>0.0120453695434803</v>
      </c>
      <c r="K1642" t="n">
        <v>0.6793279433539587</v>
      </c>
      <c r="L1642" t="b">
        <v>0</v>
      </c>
      <c r="M1642" t="b">
        <v>0</v>
      </c>
      <c r="N1642" t="inlineStr">
        <is>
          <t>alt</t>
        </is>
      </c>
      <c r="O1642" t="n">
        <v>-95</v>
      </c>
      <c r="P1642" t="n">
        <v>0.007282</v>
      </c>
      <c r="Q1642" t="n">
        <v>-100</v>
      </c>
      <c r="R1642" t="n">
        <v>0.1942</v>
      </c>
      <c r="S1642">
        <f>IMAGE("https://mitra.stanford.edu/kundaje/oak/projects/neuro-variants/variant_position/credible/roussos_2024/variant_figures/roussos_2024.childhood.Astrocyte/rs12150547_count_position.png",4,220,900)</f>
        <v/>
      </c>
      <c r="T1642">
        <f>IMAGE("https://mitra.stanford.edu/kundaje/oak/projects/neuro-variants/variant_position/credible/roussos_2024/variant_figures/roussos_2024.childhood.Astrocyte/rs12150547_profile_position.png",4,220,900)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-0.00185737396</v>
      </c>
      <c r="G1643" t="n">
        <v>0.8078563206784588</v>
      </c>
      <c r="H1643" t="n">
        <v>0.0138613763798276</v>
      </c>
      <c r="I1643" t="n">
        <v>0.372564697118612</v>
      </c>
      <c r="J1643" t="n">
        <v>0.08529382580354609</v>
      </c>
      <c r="K1643" t="n">
        <v>0.3567170413461965</v>
      </c>
      <c r="L1643" t="b">
        <v>0</v>
      </c>
      <c r="M1643" t="b">
        <v>0</v>
      </c>
      <c r="N1643" t="inlineStr">
        <is>
          <t>ref</t>
        </is>
      </c>
      <c r="O1643" t="n">
        <v>45</v>
      </c>
      <c r="P1643" t="n">
        <v>0.004044</v>
      </c>
      <c r="Q1643" t="n">
        <v>-10</v>
      </c>
      <c r="R1643" t="n">
        <v>0.01575</v>
      </c>
      <c r="S1643">
        <f>IMAGE("https://mitra.stanford.edu/kundaje/oak/projects/neuro-variants/variant_position/credible/roussos_2024/variant_figures/roussos_2024.childhood.Astrocyte/rs62056874_count_position.png",4,220,900)</f>
        <v/>
      </c>
      <c r="T1643">
        <f>IMAGE("https://mitra.stanford.edu/kundaje/oak/projects/neuro-variants/variant_position/credible/roussos_2024/variant_figures/roussos_2024.childhood.Astrocyte/rs62056874_profile_position.png",4,220,900)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-0.0084774936</v>
      </c>
      <c r="G1644" t="n">
        <v>0.5578338292798997</v>
      </c>
      <c r="H1644" t="n">
        <v>0.0074879004891828</v>
      </c>
      <c r="I1644" t="n">
        <v>0.9240066943196932</v>
      </c>
      <c r="J1644" t="n">
        <v>0.0174593360964178</v>
      </c>
      <c r="K1644" t="n">
        <v>0.6138741730728949</v>
      </c>
      <c r="L1644" t="b">
        <v>0</v>
      </c>
      <c r="M1644" t="b">
        <v>0</v>
      </c>
      <c r="N1644" t="inlineStr">
        <is>
          <t>ref</t>
        </is>
      </c>
      <c r="O1644" t="n">
        <v>-95</v>
      </c>
      <c r="P1644" t="n">
        <v>0.006504</v>
      </c>
      <c r="Q1644" t="n">
        <v>15</v>
      </c>
      <c r="R1644" t="n">
        <v>0.007423</v>
      </c>
      <c r="S1644">
        <f>IMAGE("https://mitra.stanford.edu/kundaje/oak/projects/neuro-variants/variant_position/credible/roussos_2024/variant_figures/roussos_2024.childhood.Astrocyte/rs17762308_count_position.png",4,220,900)</f>
        <v/>
      </c>
      <c r="T1644">
        <f>IMAGE("https://mitra.stanford.edu/kundaje/oak/projects/neuro-variants/variant_position/credible/roussos_2024/variant_figures/roussos_2024.childhood.Astrocyte/rs17762308_profile_position.png",4,220,900)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0.052569594</v>
      </c>
      <c r="G1645" t="n">
        <v>0.1993468945743965</v>
      </c>
      <c r="H1645" t="n">
        <v>0.0147069603319479</v>
      </c>
      <c r="I1645" t="n">
        <v>0.31487799946418</v>
      </c>
      <c r="J1645" t="n">
        <v>0.0491248960026867</v>
      </c>
      <c r="K1645" t="n">
        <v>0.4818398460624828</v>
      </c>
      <c r="L1645" t="b">
        <v>0</v>
      </c>
      <c r="M1645" t="b">
        <v>0</v>
      </c>
      <c r="N1645" t="inlineStr">
        <is>
          <t>alt</t>
        </is>
      </c>
      <c r="O1645" t="n">
        <v>75</v>
      </c>
      <c r="P1645" t="n">
        <v>0.01949</v>
      </c>
      <c r="Q1645" t="n">
        <v>75</v>
      </c>
      <c r="R1645" t="n">
        <v>0.1558</v>
      </c>
      <c r="S1645">
        <f>IMAGE("https://mitra.stanford.edu/kundaje/oak/projects/neuro-variants/variant_position/credible/roussos_2024/variant_figures/roussos_2024.childhood.Astrocyte/rs62056909_count_position.png",4,220,900)</f>
        <v/>
      </c>
      <c r="T1645">
        <f>IMAGE("https://mitra.stanford.edu/kundaje/oak/projects/neuro-variants/variant_position/credible/roussos_2024/variant_figures/roussos_2024.childhood.Astrocyte/rs62056909_profile_position.png",4,220,900)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-0.009978609899999999</v>
      </c>
      <c r="G1646" t="n">
        <v>0.5856953525200865</v>
      </c>
      <c r="H1646" t="n">
        <v>0.0118133269805119</v>
      </c>
      <c r="I1646" t="n">
        <v>0.5276704782701557</v>
      </c>
      <c r="J1646" t="n">
        <v>0.1354621297123185</v>
      </c>
      <c r="K1646" t="n">
        <v>0.2849613284745688</v>
      </c>
      <c r="L1646" t="b">
        <v>0</v>
      </c>
      <c r="M1646" t="b">
        <v>0</v>
      </c>
      <c r="N1646" t="inlineStr">
        <is>
          <t>ref</t>
        </is>
      </c>
      <c r="O1646" t="n">
        <v>90</v>
      </c>
      <c r="P1646" t="n">
        <v>0.02113</v>
      </c>
      <c r="Q1646" t="n">
        <v>90</v>
      </c>
      <c r="R1646" t="n">
        <v>0.1399</v>
      </c>
      <c r="S1646">
        <f>IMAGE("https://mitra.stanford.edu/kundaje/oak/projects/neuro-variants/variant_position/credible/roussos_2024/variant_figures/roussos_2024.childhood.Astrocyte/rs62056910_count_position.png",4,220,900)</f>
        <v/>
      </c>
      <c r="T1646">
        <f>IMAGE("https://mitra.stanford.edu/kundaje/oak/projects/neuro-variants/variant_position/credible/roussos_2024/variant_figures/roussos_2024.childhood.Astrocyte/rs62056910_profile_position.png",4,220,900)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0.1011218492</v>
      </c>
      <c r="G1647" t="n">
        <v>0.0910430402373781</v>
      </c>
      <c r="H1647" t="n">
        <v>0.0184108213640738</v>
      </c>
      <c r="I1647" t="n">
        <v>0.1657308322526487</v>
      </c>
      <c r="J1647" t="n">
        <v>0.1272637066550647</v>
      </c>
      <c r="K1647" t="n">
        <v>0.2874657855898801</v>
      </c>
      <c r="L1647" t="b">
        <v>0</v>
      </c>
      <c r="M1647" t="b">
        <v>0</v>
      </c>
      <c r="N1647" t="inlineStr">
        <is>
          <t>alt</t>
        </is>
      </c>
      <c r="O1647" t="n">
        <v>55</v>
      </c>
      <c r="P1647" t="n">
        <v>0.01941</v>
      </c>
      <c r="Q1647" t="n">
        <v>60</v>
      </c>
      <c r="R1647" t="n">
        <v>0.1643</v>
      </c>
      <c r="S1647">
        <f>IMAGE("https://mitra.stanford.edu/kundaje/oak/projects/neuro-variants/variant_position/credible/roussos_2024/variant_figures/roussos_2024.childhood.Astrocyte/rs62056912_count_position.png",4,220,900)</f>
        <v/>
      </c>
      <c r="T1647">
        <f>IMAGE("https://mitra.stanford.edu/kundaje/oak/projects/neuro-variants/variant_position/credible/roussos_2024/variant_figures/roussos_2024.childhood.Astrocyte/rs62056912_profile_position.png",4,220,900)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0.0475752186</v>
      </c>
      <c r="G1648" t="n">
        <v>0.2282789843614365</v>
      </c>
      <c r="H1648" t="n">
        <v>0.0112003425031628</v>
      </c>
      <c r="I1648" t="n">
        <v>0.5940896431468794</v>
      </c>
      <c r="J1648" t="n">
        <v>0.112676604611756</v>
      </c>
      <c r="K1648" t="n">
        <v>0.3086945653351691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0.001371</v>
      </c>
      <c r="Q1648" t="n">
        <v>-100</v>
      </c>
      <c r="R1648" t="n">
        <v>0.0564</v>
      </c>
      <c r="S1648">
        <f>IMAGE("https://mitra.stanford.edu/kundaje/oak/projects/neuro-variants/variant_position/credible/roussos_2024/variant_figures/roussos_2024.childhood.Astrocyte/rs61667602_count_position.png",4,220,900)</f>
        <v/>
      </c>
      <c r="T1648">
        <f>IMAGE("https://mitra.stanford.edu/kundaje/oak/projects/neuro-variants/variant_position/credible/roussos_2024/variant_figures/roussos_2024.childhood.Astrocyte/rs61667602_profile_position.png",4,220,900)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0.03794076052</v>
      </c>
      <c r="G1649" t="n">
        <v>0.3053713616911039</v>
      </c>
      <c r="H1649" t="n">
        <v>0.0090389246675788</v>
      </c>
      <c r="I1649" t="n">
        <v>0.8168012750811854</v>
      </c>
      <c r="J1649" t="n">
        <v>0.3334088983535984</v>
      </c>
      <c r="K1649" t="n">
        <v>0.1152206458601031</v>
      </c>
      <c r="L1649" t="b">
        <v>0</v>
      </c>
      <c r="M1649" t="b">
        <v>0</v>
      </c>
      <c r="N1649" t="inlineStr">
        <is>
          <t>alt</t>
        </is>
      </c>
      <c r="O1649" t="n">
        <v>95</v>
      </c>
      <c r="P1649" t="n">
        <v>0.05737</v>
      </c>
      <c r="Q1649" t="n">
        <v>95</v>
      </c>
      <c r="R1649" t="n">
        <v>0.4731</v>
      </c>
      <c r="S1649">
        <f>IMAGE("https://mitra.stanford.edu/kundaje/oak/projects/neuro-variants/variant_position/credible/roussos_2024/variant_figures/roussos_2024.childhood.Astrocyte/rs62056916_count_position.png",4,220,900)</f>
        <v/>
      </c>
      <c r="T1649">
        <f>IMAGE("https://mitra.stanford.edu/kundaje/oak/projects/neuro-variants/variant_position/credible/roussos_2024/variant_figures/roussos_2024.childhood.Astrocyte/rs62056916_profile_position.png",4,220,900)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-0.310959046</v>
      </c>
      <c r="G1650" t="n">
        <v>0.0055477835421045</v>
      </c>
      <c r="H1650" t="n">
        <v>0.0342272824182077</v>
      </c>
      <c r="I1650" t="n">
        <v>0.0191305237905891</v>
      </c>
      <c r="J1650" t="n">
        <v>0.3330303099692396</v>
      </c>
      <c r="K1650" t="n">
        <v>0.1152824287868353</v>
      </c>
      <c r="L1650" t="b">
        <v>1</v>
      </c>
      <c r="M1650" t="b">
        <v>1</v>
      </c>
      <c r="N1650" t="inlineStr">
        <is>
          <t>ref</t>
        </is>
      </c>
      <c r="O1650" t="n">
        <v>20</v>
      </c>
      <c r="P1650" t="n">
        <v>0.012695</v>
      </c>
      <c r="Q1650" t="n">
        <v>20</v>
      </c>
      <c r="R1650" t="n">
        <v>0.04492</v>
      </c>
      <c r="S1650">
        <f>IMAGE("https://mitra.stanford.edu/kundaje/oak/projects/neuro-variants/variant_position/credible/roussos_2024/variant_figures/roussos_2024.childhood.Astrocyte/rs62056917_count_position.png",4,220,900)</f>
        <v/>
      </c>
      <c r="T1650">
        <f>IMAGE("https://mitra.stanford.edu/kundaje/oak/projects/neuro-variants/variant_position/credible/roussos_2024/variant_figures/roussos_2024.childhood.Astrocyte/rs62056917_profile_position.png",4,220,900)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0.0640153912799999</v>
      </c>
      <c r="G1651" t="n">
        <v>0.1778051789426948</v>
      </c>
      <c r="H1651" t="n">
        <v>0.0134281529833141</v>
      </c>
      <c r="I1651" t="n">
        <v>0.399431904277238</v>
      </c>
      <c r="J1651" t="n">
        <v>0.1943486524238052</v>
      </c>
      <c r="K1651" t="n">
        <v>0.2073328096129061</v>
      </c>
      <c r="L1651" t="b">
        <v>0</v>
      </c>
      <c r="M1651" t="b">
        <v>0</v>
      </c>
      <c r="N1651" t="inlineStr">
        <is>
          <t>alt</t>
        </is>
      </c>
      <c r="O1651" t="n">
        <v>100</v>
      </c>
      <c r="P1651" t="n">
        <v>0.01513</v>
      </c>
      <c r="Q1651" t="n">
        <v>95</v>
      </c>
      <c r="R1651" t="n">
        <v>0.1932</v>
      </c>
      <c r="S1651">
        <f>IMAGE("https://mitra.stanford.edu/kundaje/oak/projects/neuro-variants/variant_position/credible/roussos_2024/variant_figures/roussos_2024.childhood.Astrocyte/rs17762535_count_position.png",4,220,900)</f>
        <v/>
      </c>
      <c r="T1651">
        <f>IMAGE("https://mitra.stanford.edu/kundaje/oak/projects/neuro-variants/variant_position/credible/roussos_2024/variant_figures/roussos_2024.childhood.Astrocyte/rs17762535_profile_position.png",4,220,900)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-0.150318371</v>
      </c>
      <c r="G1652" t="n">
        <v>0.033896163361564</v>
      </c>
      <c r="H1652" t="n">
        <v>0.0240111556730359</v>
      </c>
      <c r="I1652" t="n">
        <v>0.07718445552614429</v>
      </c>
      <c r="J1652" t="n">
        <v>0.2307755718898124</v>
      </c>
      <c r="K1652" t="n">
        <v>0.1776895053639972</v>
      </c>
      <c r="L1652" t="b">
        <v>0</v>
      </c>
      <c r="M1652" t="b">
        <v>0</v>
      </c>
      <c r="N1652" t="inlineStr">
        <is>
          <t>ref</t>
        </is>
      </c>
      <c r="O1652" t="n">
        <v>0</v>
      </c>
      <c r="P1652" t="n">
        <v>0</v>
      </c>
      <c r="Q1652" t="n">
        <v>0</v>
      </c>
      <c r="R1652" t="n">
        <v>0</v>
      </c>
      <c r="S1652">
        <f>IMAGE("https://mitra.stanford.edu/kundaje/oak/projects/neuro-variants/variant_position/credible/roussos_2024/variant_figures/roussos_2024.childhood.Astrocyte/rs62056920_count_position.png",4,220,900)</f>
        <v/>
      </c>
      <c r="T1652">
        <f>IMAGE("https://mitra.stanford.edu/kundaje/oak/projects/neuro-variants/variant_position/credible/roussos_2024/variant_figures/roussos_2024.childhood.Astrocyte/rs62056920_profile_position.png",4,220,900)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0.0184741859999999</v>
      </c>
      <c r="G1653" t="n">
        <v>0.5447580534178084</v>
      </c>
      <c r="H1653" t="n">
        <v>0.0512999902620054</v>
      </c>
      <c r="I1653" t="n">
        <v>0.0036246088127366</v>
      </c>
      <c r="J1653" t="n">
        <v>0.0694778380771373</v>
      </c>
      <c r="K1653" t="n">
        <v>0.407907416712047</v>
      </c>
      <c r="L1653" t="b">
        <v>1</v>
      </c>
      <c r="M1653" t="b">
        <v>1</v>
      </c>
      <c r="N1653" t="inlineStr">
        <is>
          <t>alt</t>
        </is>
      </c>
      <c r="O1653" t="n">
        <v>-95</v>
      </c>
      <c r="P1653" t="n">
        <v>0.0083</v>
      </c>
      <c r="Q1653" t="n">
        <v>-100</v>
      </c>
      <c r="R1653" t="n">
        <v>0.0584</v>
      </c>
      <c r="S1653">
        <f>IMAGE("https://mitra.stanford.edu/kundaje/oak/projects/neuro-variants/variant_position/credible/roussos_2024/variant_figures/roussos_2024.childhood.Astrocyte/rs55973918_count_position.png",4,220,900)</f>
        <v/>
      </c>
      <c r="T1653">
        <f>IMAGE("https://mitra.stanford.edu/kundaje/oak/projects/neuro-variants/variant_position/credible/roussos_2024/variant_figures/roussos_2024.childhood.Astrocyte/rs55973918_profile_position.png",4,220,900)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-0.00959792196</v>
      </c>
      <c r="G1654" t="n">
        <v>0.745581189891087</v>
      </c>
      <c r="H1654" t="n">
        <v>0.0094646339091283</v>
      </c>
      <c r="I1654" t="n">
        <v>0.7683897147497705</v>
      </c>
      <c r="J1654" t="n">
        <v>0.120704052269622</v>
      </c>
      <c r="K1654" t="n">
        <v>0.2950168963186613</v>
      </c>
      <c r="L1654" t="b">
        <v>0</v>
      </c>
      <c r="M1654" t="b">
        <v>0</v>
      </c>
      <c r="N1654" t="inlineStr">
        <is>
          <t>ref</t>
        </is>
      </c>
      <c r="O1654" t="n">
        <v>-90</v>
      </c>
      <c r="P1654" t="n">
        <v>0.000923</v>
      </c>
      <c r="Q1654" t="n">
        <v>100</v>
      </c>
      <c r="R1654" t="n">
        <v>0.06619999999999999</v>
      </c>
      <c r="S1654">
        <f>IMAGE("https://mitra.stanford.edu/kundaje/oak/projects/neuro-variants/variant_position/credible/roussos_2024/variant_figures/roussos_2024.childhood.Astrocyte/rs7502937_count_position.png",4,220,900)</f>
        <v/>
      </c>
      <c r="T1654">
        <f>IMAGE("https://mitra.stanford.edu/kundaje/oak/projects/neuro-variants/variant_position/credible/roussos_2024/variant_figures/roussos_2024.childhood.Astrocyte/rs7502937_profile_position.png",4,220,900)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-0.006090702</v>
      </c>
      <c r="G1655" t="n">
        <v>0.3896487864850975</v>
      </c>
      <c r="H1655" t="n">
        <v>0.0122413388963698</v>
      </c>
      <c r="I1655" t="n">
        <v>0.5006756759854812</v>
      </c>
      <c r="J1655" t="n">
        <v>0.2064352392510666</v>
      </c>
      <c r="K1655" t="n">
        <v>0.1974951955041455</v>
      </c>
      <c r="L1655" t="b">
        <v>0</v>
      </c>
      <c r="M1655" t="b">
        <v>0</v>
      </c>
      <c r="N1655" t="inlineStr">
        <is>
          <t>ref</t>
        </is>
      </c>
      <c r="O1655" t="n">
        <v>60</v>
      </c>
      <c r="P1655" t="n">
        <v>0.01715</v>
      </c>
      <c r="Q1655" t="n">
        <v>90</v>
      </c>
      <c r="R1655" t="n">
        <v>0.1589</v>
      </c>
      <c r="S1655">
        <f>IMAGE("https://mitra.stanford.edu/kundaje/oak/projects/neuro-variants/variant_position/credible/roussos_2024/variant_figures/roussos_2024.childhood.Astrocyte/rs75310534_count_position.png",4,220,900)</f>
        <v/>
      </c>
      <c r="T1655">
        <f>IMAGE("https://mitra.stanford.edu/kundaje/oak/projects/neuro-variants/variant_position/credible/roussos_2024/variant_figures/roussos_2024.childhood.Astrocyte/rs75310534_profile_position.png",4,220,900)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0.07512404640000001</v>
      </c>
      <c r="G1656" t="n">
        <v>0.1225054473026424</v>
      </c>
      <c r="H1656" t="n">
        <v>0.0238475416114676</v>
      </c>
      <c r="I1656" t="n">
        <v>0.0695268966556503</v>
      </c>
      <c r="J1656" t="n">
        <v>0.0020165937731369</v>
      </c>
      <c r="K1656" t="n">
        <v>0.8609998772268124</v>
      </c>
      <c r="L1656" t="b">
        <v>0</v>
      </c>
      <c r="M1656" t="b">
        <v>0</v>
      </c>
      <c r="N1656" t="inlineStr">
        <is>
          <t>alt</t>
        </is>
      </c>
      <c r="O1656" t="n">
        <v>30</v>
      </c>
      <c r="P1656" t="n">
        <v>0.09569999999999999</v>
      </c>
      <c r="Q1656" t="n">
        <v>70</v>
      </c>
      <c r="R1656" t="n">
        <v>0.1631</v>
      </c>
      <c r="S1656">
        <f>IMAGE("https://mitra.stanford.edu/kundaje/oak/projects/neuro-variants/variant_position/credible/roussos_2024/variant_figures/roussos_2024.childhood.Astrocyte/rs111415173_count_position.png",4,220,900)</f>
        <v/>
      </c>
      <c r="T1656">
        <f>IMAGE("https://mitra.stanford.edu/kundaje/oak/projects/neuro-variants/variant_position/credible/roussos_2024/variant_figures/roussos_2024.childhood.Astrocyte/rs111415173_profile_position.png",4,220,900)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-0.0250560327999999</v>
      </c>
      <c r="G1657" t="n">
        <v>0.4522956831100806</v>
      </c>
      <c r="H1657" t="n">
        <v>0.0074741408402096</v>
      </c>
      <c r="I1657" t="n">
        <v>0.937027948733794</v>
      </c>
      <c r="J1657" t="n">
        <v>0.0026157709540274</v>
      </c>
      <c r="K1657" t="n">
        <v>0.8377709050033101</v>
      </c>
      <c r="L1657" t="b">
        <v>0</v>
      </c>
      <c r="M1657" t="b">
        <v>0</v>
      </c>
      <c r="N1657" t="inlineStr">
        <is>
          <t>ref</t>
        </is>
      </c>
      <c r="O1657" t="n">
        <v>-30</v>
      </c>
      <c r="P1657" t="n">
        <v>0.00415</v>
      </c>
      <c r="Q1657" t="n">
        <v>10</v>
      </c>
      <c r="R1657" t="n">
        <v>0.02524</v>
      </c>
      <c r="S1657">
        <f>IMAGE("https://mitra.stanford.edu/kundaje/oak/projects/neuro-variants/variant_position/credible/roussos_2024/variant_figures/roussos_2024.childhood.Astrocyte/rs113991678_count_position.png",4,220,900)</f>
        <v/>
      </c>
      <c r="T1657">
        <f>IMAGE("https://mitra.stanford.edu/kundaje/oak/projects/neuro-variants/variant_position/credible/roussos_2024/variant_figures/roussos_2024.childhood.Astrocyte/rs113991678_profile_position.png",4,220,900)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0.1927994019999999</v>
      </c>
      <c r="G1658" t="n">
        <v>0.018964821409426</v>
      </c>
      <c r="H1658" t="n">
        <v>0.0272329062437718</v>
      </c>
      <c r="I1658" t="n">
        <v>0.051686616149452</v>
      </c>
      <c r="J1658" t="n">
        <v>0.2038293909764679</v>
      </c>
      <c r="K1658" t="n">
        <v>0.1993611241152703</v>
      </c>
      <c r="L1658" t="b">
        <v>1</v>
      </c>
      <c r="M1658" t="b">
        <v>0</v>
      </c>
      <c r="N1658" t="inlineStr">
        <is>
          <t>alt</t>
        </is>
      </c>
      <c r="O1658" t="n">
        <v>70</v>
      </c>
      <c r="P1658" t="n">
        <v>0.00506</v>
      </c>
      <c r="Q1658" t="n">
        <v>-5</v>
      </c>
      <c r="R1658" t="n">
        <v>0.0105</v>
      </c>
      <c r="S1658">
        <f>IMAGE("https://mitra.stanford.edu/kundaje/oak/projects/neuro-variants/variant_position/credible/roussos_2024/variant_figures/roussos_2024.childhood.Astrocyte/rs55838058_count_position.png",4,220,900)</f>
        <v/>
      </c>
      <c r="T1658">
        <f>IMAGE("https://mitra.stanford.edu/kundaje/oak/projects/neuro-variants/variant_position/credible/roussos_2024/variant_figures/roussos_2024.childhood.Astrocyte/rs55838058_profile_position.png",4,220,900)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0.037764091</v>
      </c>
      <c r="G1659" t="n">
        <v>0.3091572897141017</v>
      </c>
      <c r="H1659" t="n">
        <v>0.0288687840257085</v>
      </c>
      <c r="I1659" t="n">
        <v>0.0344383688298155</v>
      </c>
      <c r="J1659" t="n">
        <v>0.6210139451810126</v>
      </c>
      <c r="K1659" t="n">
        <v>0.0300648098522677</v>
      </c>
      <c r="L1659" t="b">
        <v>0</v>
      </c>
      <c r="M1659" t="b">
        <v>0</v>
      </c>
      <c r="N1659" t="inlineStr">
        <is>
          <t>alt</t>
        </is>
      </c>
      <c r="O1659" t="n">
        <v>85</v>
      </c>
      <c r="P1659" t="n">
        <v>0.02899</v>
      </c>
      <c r="Q1659" t="n">
        <v>100</v>
      </c>
      <c r="R1659" t="n">
        <v>0.3486</v>
      </c>
      <c r="S1659">
        <f>IMAGE("https://mitra.stanford.edu/kundaje/oak/projects/neuro-variants/variant_position/credible/roussos_2024/variant_figures/roussos_2024.childhood.Astrocyte/rs62054378_count_position.png",4,220,900)</f>
        <v/>
      </c>
      <c r="T1659">
        <f>IMAGE("https://mitra.stanford.edu/kundaje/oak/projects/neuro-variants/variant_position/credible/roussos_2024/variant_figures/roussos_2024.childhood.Astrocyte/rs62054378_profile_position.png",4,220,900)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-0.1699505126</v>
      </c>
      <c r="G1660" t="n">
        <v>0.0280748744011685</v>
      </c>
      <c r="H1660" t="n">
        <v>0.0289776442486707</v>
      </c>
      <c r="I1660" t="n">
        <v>0.039954254521125</v>
      </c>
      <c r="J1660" t="n">
        <v>0.5722493187698932</v>
      </c>
      <c r="K1660" t="n">
        <v>0.0391809525802352</v>
      </c>
      <c r="L1660" t="b">
        <v>0</v>
      </c>
      <c r="M1660" t="b">
        <v>0</v>
      </c>
      <c r="N1660" t="inlineStr">
        <is>
          <t>ref</t>
        </is>
      </c>
      <c r="O1660" t="n">
        <v>40</v>
      </c>
      <c r="P1660" t="n">
        <v>0.002441</v>
      </c>
      <c r="Q1660" t="n">
        <v>-40</v>
      </c>
      <c r="R1660" t="n">
        <v>0.03223</v>
      </c>
      <c r="S1660">
        <f>IMAGE("https://mitra.stanford.edu/kundaje/oak/projects/neuro-variants/variant_position/credible/roussos_2024/variant_figures/roussos_2024.childhood.Astrocyte/rs77819001_count_position.png",4,220,900)</f>
        <v/>
      </c>
      <c r="T1660">
        <f>IMAGE("https://mitra.stanford.edu/kundaje/oak/projects/neuro-variants/variant_position/credible/roussos_2024/variant_figures/roussos_2024.childhood.Astrocyte/rs77819001_profile_position.png",4,220,900)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-0.292611</v>
      </c>
      <c r="G1661" t="n">
        <v>0.0061934074542475</v>
      </c>
      <c r="H1661" t="n">
        <v>0.0643865101132679</v>
      </c>
      <c r="I1661" t="n">
        <v>0.0019040617962109</v>
      </c>
      <c r="J1661" t="n">
        <v>0.5694343309442574</v>
      </c>
      <c r="K1661" t="n">
        <v>0.0397554573165806</v>
      </c>
      <c r="L1661" t="b">
        <v>1</v>
      </c>
      <c r="M1661" t="b">
        <v>1</v>
      </c>
      <c r="N1661" t="inlineStr">
        <is>
          <t>ref</t>
        </is>
      </c>
      <c r="O1661" t="n">
        <v>30</v>
      </c>
      <c r="P1661" t="n">
        <v>0.002808</v>
      </c>
      <c r="Q1661" t="n">
        <v>-45</v>
      </c>
      <c r="R1661" t="n">
        <v>0.03125</v>
      </c>
      <c r="S1661">
        <f>IMAGE("https://mitra.stanford.edu/kundaje/oak/projects/neuro-variants/variant_position/credible/roussos_2024/variant_figures/roussos_2024.childhood.Astrocyte/rs76667867_count_position.png",4,220,900)</f>
        <v/>
      </c>
      <c r="T1661">
        <f>IMAGE("https://mitra.stanford.edu/kundaje/oak/projects/neuro-variants/variant_position/credible/roussos_2024/variant_figures/roussos_2024.childhood.Astrocyte/rs76667867_profile_position.png",4,220,900)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-0.0238296127999999</v>
      </c>
      <c r="G1662" t="n">
        <v>0.2956025389199388</v>
      </c>
      <c r="H1662" t="n">
        <v>0.0161389850940716</v>
      </c>
      <c r="I1662" t="n">
        <v>0.2471634230833197</v>
      </c>
      <c r="J1662" t="n">
        <v>0.0054277056475311</v>
      </c>
      <c r="K1662" t="n">
        <v>0.7979396741047161</v>
      </c>
      <c r="L1662" t="b">
        <v>0</v>
      </c>
      <c r="M1662" t="b">
        <v>0</v>
      </c>
      <c r="N1662" t="inlineStr">
        <is>
          <t>ref</t>
        </is>
      </c>
      <c r="O1662" t="n">
        <v>90</v>
      </c>
      <c r="P1662" t="n">
        <v>0.003183</v>
      </c>
      <c r="Q1662" t="n">
        <v>90</v>
      </c>
      <c r="R1662" t="n">
        <v>0.09093999999999999</v>
      </c>
      <c r="S1662">
        <f>IMAGE("https://mitra.stanford.edu/kundaje/oak/projects/neuro-variants/variant_position/credible/roussos_2024/variant_figures/roussos_2024.childhood.Astrocyte/rs62054381_count_position.png",4,220,900)</f>
        <v/>
      </c>
      <c r="T1662">
        <f>IMAGE("https://mitra.stanford.edu/kundaje/oak/projects/neuro-variants/variant_position/credible/roussos_2024/variant_figures/roussos_2024.childhood.Astrocyte/rs62054381_profile_position.png",4,220,900)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0.27319661</v>
      </c>
      <c r="G1663" t="n">
        <v>0.0071115990174345</v>
      </c>
      <c r="H1663" t="n">
        <v>0.0367818354808697</v>
      </c>
      <c r="I1663" t="n">
        <v>0.0133799680923559</v>
      </c>
      <c r="J1663" t="n">
        <v>0.2164960729087953</v>
      </c>
      <c r="K1663" t="n">
        <v>0.1921553352015869</v>
      </c>
      <c r="L1663" t="b">
        <v>1</v>
      </c>
      <c r="M1663" t="b">
        <v>1</v>
      </c>
      <c r="N1663" t="inlineStr">
        <is>
          <t>alt</t>
        </is>
      </c>
      <c r="O1663" t="n">
        <v>-100</v>
      </c>
      <c r="P1663" t="n">
        <v>0.00437</v>
      </c>
      <c r="Q1663" t="n">
        <v>85</v>
      </c>
      <c r="R1663" t="n">
        <v>0.1665</v>
      </c>
      <c r="S1663">
        <f>IMAGE("https://mitra.stanford.edu/kundaje/oak/projects/neuro-variants/variant_position/credible/roussos_2024/variant_figures/roussos_2024.childhood.Astrocyte/rs62054383_count_position.png",4,220,900)</f>
        <v/>
      </c>
      <c r="T1663">
        <f>IMAGE("https://mitra.stanford.edu/kundaje/oak/projects/neuro-variants/variant_position/credible/roussos_2024/variant_figures/roussos_2024.childhood.Astrocyte/rs62054383_profile_position.png",4,220,900)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-0.1052079809999999</v>
      </c>
      <c r="G1664" t="n">
        <v>0.0636133753955507</v>
      </c>
      <c r="H1664" t="n">
        <v>0.0148594584884211</v>
      </c>
      <c r="I1664" t="n">
        <v>0.3055728141991387</v>
      </c>
      <c r="J1664" t="n">
        <v>0.0361910650088158</v>
      </c>
      <c r="K1664" t="n">
        <v>0.5050188023308815</v>
      </c>
      <c r="L1664" t="b">
        <v>0</v>
      </c>
      <c r="M1664" t="b">
        <v>0</v>
      </c>
      <c r="N1664" t="inlineStr">
        <is>
          <t>ref</t>
        </is>
      </c>
      <c r="O1664" t="n">
        <v>45</v>
      </c>
      <c r="P1664" t="n">
        <v>0.00241</v>
      </c>
      <c r="Q1664" t="n">
        <v>85</v>
      </c>
      <c r="R1664" t="n">
        <v>0.1569</v>
      </c>
      <c r="S1664">
        <f>IMAGE("https://mitra.stanford.edu/kundaje/oak/projects/neuro-variants/variant_position/credible/roussos_2024/variant_figures/roussos_2024.childhood.Astrocyte/rs56380663_count_position.png",4,220,900)</f>
        <v/>
      </c>
      <c r="T1664">
        <f>IMAGE("https://mitra.stanford.edu/kundaje/oak/projects/neuro-variants/variant_position/credible/roussos_2024/variant_figures/roussos_2024.childhood.Astrocyte/rs56380663_profile_position.png",4,220,900)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0.02522005326</v>
      </c>
      <c r="G1665" t="n">
        <v>0.4445312303880098</v>
      </c>
      <c r="H1665" t="n">
        <v>0.0179311298094804</v>
      </c>
      <c r="I1665" t="n">
        <v>0.197547930911262</v>
      </c>
      <c r="J1665" t="n">
        <v>0.0791135230854953</v>
      </c>
      <c r="K1665" t="n">
        <v>0.3724604573326738</v>
      </c>
      <c r="L1665" t="b">
        <v>0</v>
      </c>
      <c r="M1665" t="b">
        <v>0</v>
      </c>
      <c r="N1665" t="inlineStr">
        <is>
          <t>alt</t>
        </is>
      </c>
      <c r="O1665" t="n">
        <v>20</v>
      </c>
      <c r="P1665" t="n">
        <v>0.002232</v>
      </c>
      <c r="Q1665" t="n">
        <v>-55</v>
      </c>
      <c r="R1665" t="n">
        <v>0.0588</v>
      </c>
      <c r="S1665">
        <f>IMAGE("https://mitra.stanford.edu/kundaje/oak/projects/neuro-variants/variant_position/credible/roussos_2024/variant_figures/roussos_2024.childhood.Astrocyte/rs62054388_count_position.png",4,220,900)</f>
        <v/>
      </c>
      <c r="T1665">
        <f>IMAGE("https://mitra.stanford.edu/kundaje/oak/projects/neuro-variants/variant_position/credible/roussos_2024/variant_figures/roussos_2024.childhood.Astrocyte/rs62054388_profile_position.png",4,220,900)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0.0890121926</v>
      </c>
      <c r="G1666" t="n">
        <v>0.08865140989273659</v>
      </c>
      <c r="H1666" t="n">
        <v>0.0244784981928454</v>
      </c>
      <c r="I1666" t="n">
        <v>0.0679870054645433</v>
      </c>
      <c r="J1666" t="n">
        <v>0.1535198797065939</v>
      </c>
      <c r="K1666" t="n">
        <v>0.2545337152409939</v>
      </c>
      <c r="L1666" t="b">
        <v>0</v>
      </c>
      <c r="M1666" t="b">
        <v>0</v>
      </c>
      <c r="N1666" t="inlineStr">
        <is>
          <t>alt</t>
        </is>
      </c>
      <c r="O1666" t="n">
        <v>-15</v>
      </c>
      <c r="P1666" t="n">
        <v>0.0002594</v>
      </c>
      <c r="Q1666" t="n">
        <v>-75</v>
      </c>
      <c r="R1666" t="n">
        <v>0.0669</v>
      </c>
      <c r="S1666">
        <f>IMAGE("https://mitra.stanford.edu/kundaje/oak/projects/neuro-variants/variant_position/credible/roussos_2024/variant_figures/roussos_2024.childhood.Astrocyte/rs4401083_count_position.png",4,220,900)</f>
        <v/>
      </c>
      <c r="T1666">
        <f>IMAGE("https://mitra.stanford.edu/kundaje/oak/projects/neuro-variants/variant_position/credible/roussos_2024/variant_figures/roussos_2024.childhood.Astrocyte/rs4401083_profile_position.png",4,220,900)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-0.03806758</v>
      </c>
      <c r="G1667" t="n">
        <v>0.3093447181385835</v>
      </c>
      <c r="H1667" t="n">
        <v>0.0100706485149328</v>
      </c>
      <c r="I1667" t="n">
        <v>0.7049918229697634</v>
      </c>
      <c r="J1667" t="n">
        <v>0.2064131040431101</v>
      </c>
      <c r="K1667" t="n">
        <v>0.1993910952823493</v>
      </c>
      <c r="L1667" t="b">
        <v>0</v>
      </c>
      <c r="M1667" t="b">
        <v>0</v>
      </c>
      <c r="N1667" t="inlineStr">
        <is>
          <t>ref</t>
        </is>
      </c>
      <c r="O1667" t="n">
        <v>70</v>
      </c>
      <c r="P1667" t="n">
        <v>0.004646</v>
      </c>
      <c r="Q1667" t="n">
        <v>-75</v>
      </c>
      <c r="R1667" t="n">
        <v>0.0594</v>
      </c>
      <c r="S1667">
        <f>IMAGE("https://mitra.stanford.edu/kundaje/oak/projects/neuro-variants/variant_position/credible/roussos_2024/variant_figures/roussos_2024.childhood.Astrocyte/rs1880752_count_position.png",4,220,900)</f>
        <v/>
      </c>
      <c r="T1667">
        <f>IMAGE("https://mitra.stanford.edu/kundaje/oak/projects/neuro-variants/variant_position/credible/roussos_2024/variant_figures/roussos_2024.childhood.Astrocyte/rs1880752_profile_position.png",4,220,900)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-0.184690344</v>
      </c>
      <c r="G1668" t="n">
        <v>0.0201854936223429</v>
      </c>
      <c r="H1668" t="n">
        <v>0.0389646715175354</v>
      </c>
      <c r="I1668" t="n">
        <v>0.0110844319834794</v>
      </c>
      <c r="J1668" t="n">
        <v>0.1959347545663407</v>
      </c>
      <c r="K1668" t="n">
        <v>0.2099315819791035</v>
      </c>
      <c r="L1668" t="b">
        <v>1</v>
      </c>
      <c r="M1668" t="b">
        <v>0</v>
      </c>
      <c r="N1668" t="inlineStr">
        <is>
          <t>ref</t>
        </is>
      </c>
      <c r="O1668" t="n">
        <v>-95</v>
      </c>
      <c r="P1668" t="n">
        <v>0.02573</v>
      </c>
      <c r="Q1668" t="n">
        <v>-80</v>
      </c>
      <c r="R1668" t="n">
        <v>0.1729</v>
      </c>
      <c r="S1668">
        <f>IMAGE("https://mitra.stanford.edu/kundaje/oak/projects/neuro-variants/variant_position/credible/roussos_2024/variant_figures/roussos_2024.childhood.Astrocyte/rs2864087_count_position.png",4,220,900)</f>
        <v/>
      </c>
      <c r="T1668">
        <f>IMAGE("https://mitra.stanford.edu/kundaje/oak/projects/neuro-variants/variant_position/credible/roussos_2024/variant_figures/roussos_2024.childhood.Astrocyte/rs2864087_profile_position.png",4,220,900)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-0.348111792</v>
      </c>
      <c r="G1669" t="n">
        <v>0.003637209299858</v>
      </c>
      <c r="H1669" t="n">
        <v>0.0548501056026806</v>
      </c>
      <c r="I1669" t="n">
        <v>0.0029140892739377</v>
      </c>
      <c r="J1669" t="n">
        <v>0.1781899506155877</v>
      </c>
      <c r="K1669" t="n">
        <v>0.2273814897166934</v>
      </c>
      <c r="L1669" t="b">
        <v>1</v>
      </c>
      <c r="M1669" t="b">
        <v>1</v>
      </c>
      <c r="N1669" t="inlineStr">
        <is>
          <t>ref</t>
        </is>
      </c>
      <c r="O1669" t="n">
        <v>65</v>
      </c>
      <c r="P1669" t="n">
        <v>0.010254</v>
      </c>
      <c r="Q1669" t="n">
        <v>65</v>
      </c>
      <c r="R1669" t="n">
        <v>0.08400000000000001</v>
      </c>
      <c r="S1669">
        <f>IMAGE("https://mitra.stanford.edu/kundaje/oak/projects/neuro-variants/variant_position/credible/roussos_2024/variant_figures/roussos_2024.childhood.Astrocyte/rs4609899_count_position.png",4,220,900)</f>
        <v/>
      </c>
      <c r="T1669">
        <f>IMAGE("https://mitra.stanford.edu/kundaje/oak/projects/neuro-variants/variant_position/credible/roussos_2024/variant_figures/roussos_2024.childhood.Astrocyte/rs4609899_profile_position.png",4,220,900)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-0.0144072951799999</v>
      </c>
      <c r="G1670" t="n">
        <v>0.6229664464227421</v>
      </c>
      <c r="H1670" t="n">
        <v>0.0134348270523359</v>
      </c>
      <c r="I1670" t="n">
        <v>0.394753453142116</v>
      </c>
      <c r="J1670" t="n">
        <v>0.0116324334226374</v>
      </c>
      <c r="K1670" t="n">
        <v>0.701744291127034</v>
      </c>
      <c r="L1670" t="b">
        <v>0</v>
      </c>
      <c r="M1670" t="b">
        <v>0</v>
      </c>
      <c r="N1670" t="inlineStr">
        <is>
          <t>ref</t>
        </is>
      </c>
      <c r="O1670" t="n">
        <v>55</v>
      </c>
      <c r="P1670" t="n">
        <v>0.003134</v>
      </c>
      <c r="Q1670" t="n">
        <v>-100</v>
      </c>
      <c r="R1670" t="n">
        <v>0.1458</v>
      </c>
      <c r="S1670">
        <f>IMAGE("https://mitra.stanford.edu/kundaje/oak/projects/neuro-variants/variant_position/credible/roussos_2024/variant_figures/roussos_2024.childhood.Astrocyte/rs62054393_count_position.png",4,220,900)</f>
        <v/>
      </c>
      <c r="T1670">
        <f>IMAGE("https://mitra.stanford.edu/kundaje/oak/projects/neuro-variants/variant_position/credible/roussos_2024/variant_figures/roussos_2024.childhood.Astrocyte/rs62054393_profile_position.png",4,220,900)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0.175502117</v>
      </c>
      <c r="G1671" t="n">
        <v>0.0235104144235394</v>
      </c>
      <c r="H1671" t="n">
        <v>0.0263813467262332</v>
      </c>
      <c r="I1671" t="n">
        <v>0.0492323459800604</v>
      </c>
      <c r="J1671" t="n">
        <v>0.1021043713219298</v>
      </c>
      <c r="K1671" t="n">
        <v>0.3271832368998484</v>
      </c>
      <c r="L1671" t="b">
        <v>0</v>
      </c>
      <c r="M1671" t="b">
        <v>0</v>
      </c>
      <c r="N1671" t="inlineStr">
        <is>
          <t>alt</t>
        </is>
      </c>
      <c r="O1671" t="n">
        <v>100</v>
      </c>
      <c r="P1671" t="n">
        <v>0.08169999999999999</v>
      </c>
      <c r="Q1671" t="n">
        <v>-45</v>
      </c>
      <c r="R1671" t="n">
        <v>0.2196</v>
      </c>
      <c r="S1671">
        <f>IMAGE("https://mitra.stanford.edu/kundaje/oak/projects/neuro-variants/variant_position/credible/roussos_2024/variant_figures/roussos_2024.childhood.Astrocyte/rs113790915_count_position.png",4,220,900)</f>
        <v/>
      </c>
      <c r="T1671">
        <f>IMAGE("https://mitra.stanford.edu/kundaje/oak/projects/neuro-variants/variant_position/credible/roussos_2024/variant_figures/roussos_2024.childhood.Astrocyte/rs113790915_profile_position.png",4,220,900)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0.255729628</v>
      </c>
      <c r="G1672" t="n">
        <v>0.008975943908869599</v>
      </c>
      <c r="H1672" t="n">
        <v>0.0366047092444314</v>
      </c>
      <c r="I1672" t="n">
        <v>0.0144568271436148</v>
      </c>
      <c r="J1672" t="n">
        <v>0.1248776838939647</v>
      </c>
      <c r="K1672" t="n">
        <v>0.2891592632487872</v>
      </c>
      <c r="L1672" t="b">
        <v>1</v>
      </c>
      <c r="M1672" t="b">
        <v>1</v>
      </c>
      <c r="N1672" t="inlineStr">
        <is>
          <t>alt</t>
        </is>
      </c>
      <c r="O1672" t="n">
        <v>5</v>
      </c>
      <c r="P1672" t="n">
        <v>0.001709</v>
      </c>
      <c r="Q1672" t="n">
        <v>15</v>
      </c>
      <c r="R1672" t="n">
        <v>0.00415</v>
      </c>
      <c r="S1672">
        <f>IMAGE("https://mitra.stanford.edu/kundaje/oak/projects/neuro-variants/variant_position/credible/roussos_2024/variant_figures/roussos_2024.childhood.Astrocyte/rs75022332_count_position.png",4,220,900)</f>
        <v/>
      </c>
      <c r="T1672">
        <f>IMAGE("https://mitra.stanford.edu/kundaje/oak/projects/neuro-variants/variant_position/credible/roussos_2024/variant_figures/roussos_2024.childhood.Astrocyte/rs75022332_profile_position.png",4,220,900)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-0.0666718864</v>
      </c>
      <c r="G1673" t="n">
        <v>0.1529736187404852</v>
      </c>
      <c r="H1673" t="n">
        <v>0.0153302335545686</v>
      </c>
      <c r="I1673" t="n">
        <v>0.2815260196842952</v>
      </c>
      <c r="J1673" t="n">
        <v>0.0735362139634997</v>
      </c>
      <c r="K1673" t="n">
        <v>0.3891779571519015</v>
      </c>
      <c r="L1673" t="b">
        <v>0</v>
      </c>
      <c r="M1673" t="b">
        <v>0</v>
      </c>
      <c r="N1673" t="inlineStr">
        <is>
          <t>ref</t>
        </is>
      </c>
      <c r="O1673" t="n">
        <v>20</v>
      </c>
      <c r="P1673" t="n">
        <v>0.001465</v>
      </c>
      <c r="Q1673" t="n">
        <v>-5</v>
      </c>
      <c r="R1673" t="n">
        <v>0.01343</v>
      </c>
      <c r="S1673">
        <f>IMAGE("https://mitra.stanford.edu/kundaje/oak/projects/neuro-variants/variant_position/credible/roussos_2024/variant_figures/roussos_2024.childhood.Astrocyte/rs77804065_count_position.png",4,220,900)</f>
        <v/>
      </c>
      <c r="T1673">
        <f>IMAGE("https://mitra.stanford.edu/kundaje/oak/projects/neuro-variants/variant_position/credible/roussos_2024/variant_figures/roussos_2024.childhood.Astrocyte/rs77804065_profile_position.png",4,220,900)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-0.16427485</v>
      </c>
      <c r="G1674" t="n">
        <v>0.0268063354631035</v>
      </c>
      <c r="H1674" t="n">
        <v>0.0316308509161657</v>
      </c>
      <c r="I1674" t="n">
        <v>0.026664132422027</v>
      </c>
      <c r="J1674" t="n">
        <v>0.0071481456038713</v>
      </c>
      <c r="K1674" t="n">
        <v>0.7494444584328995</v>
      </c>
      <c r="L1674" t="b">
        <v>0</v>
      </c>
      <c r="M1674" t="b">
        <v>0</v>
      </c>
      <c r="N1674" t="inlineStr">
        <is>
          <t>ref</t>
        </is>
      </c>
      <c r="O1674" t="n">
        <v>85</v>
      </c>
      <c r="P1674" t="n">
        <v>0.03244</v>
      </c>
      <c r="Q1674" t="n">
        <v>35</v>
      </c>
      <c r="R1674" t="n">
        <v>0.1019</v>
      </c>
      <c r="S1674">
        <f>IMAGE("https://mitra.stanford.edu/kundaje/oak/projects/neuro-variants/variant_position/credible/roussos_2024/variant_figures/roussos_2024.childhood.Astrocyte/rs62054398_count_position.png",4,220,900)</f>
        <v/>
      </c>
      <c r="T1674">
        <f>IMAGE("https://mitra.stanford.edu/kundaje/oak/projects/neuro-variants/variant_position/credible/roussos_2024/variant_figures/roussos_2024.childhood.Astrocyte/rs62054398_profile_position.png",4,220,900)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-0.0824558852</v>
      </c>
      <c r="G1675" t="n">
        <v>0.1033786610671716</v>
      </c>
      <c r="H1675" t="n">
        <v>0.0122320352023389</v>
      </c>
      <c r="I1675" t="n">
        <v>0.4937273789646941</v>
      </c>
      <c r="J1675" t="n">
        <v>0.0064863792142764</v>
      </c>
      <c r="K1675" t="n">
        <v>0.7588644764443406</v>
      </c>
      <c r="L1675" t="b">
        <v>0</v>
      </c>
      <c r="M1675" t="b">
        <v>0</v>
      </c>
      <c r="N1675" t="inlineStr">
        <is>
          <t>ref</t>
        </is>
      </c>
      <c r="O1675" t="n">
        <v>95</v>
      </c>
      <c r="P1675" t="n">
        <v>0.009560000000000001</v>
      </c>
      <c r="Q1675" t="n">
        <v>100</v>
      </c>
      <c r="R1675" t="n">
        <v>0.0925</v>
      </c>
      <c r="S1675">
        <f>IMAGE("https://mitra.stanford.edu/kundaje/oak/projects/neuro-variants/variant_position/credible/roussos_2024/variant_figures/roussos_2024.childhood.Astrocyte/rs62054399_count_position.png",4,220,900)</f>
        <v/>
      </c>
      <c r="T1675">
        <f>IMAGE("https://mitra.stanford.edu/kundaje/oak/projects/neuro-variants/variant_position/credible/roussos_2024/variant_figures/roussos_2024.childhood.Astrocyte/rs62054399_profile_position.png",4,220,900)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0.0829317562</v>
      </c>
      <c r="G1676" t="n">
        <v>0.1058998000963391</v>
      </c>
      <c r="H1676" t="n">
        <v>0.0120071024163182</v>
      </c>
      <c r="I1676" t="n">
        <v>0.5144999815394725</v>
      </c>
      <c r="J1676" t="n">
        <v>0.0310686725744772</v>
      </c>
      <c r="K1676" t="n">
        <v>0.5243063948317639</v>
      </c>
      <c r="L1676" t="b">
        <v>0</v>
      </c>
      <c r="M1676" t="b">
        <v>0</v>
      </c>
      <c r="N1676" t="inlineStr">
        <is>
          <t>alt</t>
        </is>
      </c>
      <c r="O1676" t="n">
        <v>-100</v>
      </c>
      <c r="P1676" t="n">
        <v>0.00792</v>
      </c>
      <c r="Q1676" t="n">
        <v>70</v>
      </c>
      <c r="R1676" t="n">
        <v>0.0862</v>
      </c>
      <c r="S1676">
        <f>IMAGE("https://mitra.stanford.edu/kundaje/oak/projects/neuro-variants/variant_position/credible/roussos_2024/variant_figures/roussos_2024.childhood.Astrocyte/rs56298110_count_position.png",4,220,900)</f>
        <v/>
      </c>
      <c r="T1676">
        <f>IMAGE("https://mitra.stanford.edu/kundaje/oak/projects/neuro-variants/variant_position/credible/roussos_2024/variant_figures/roussos_2024.childhood.Astrocyte/rs56298110_profile_position.png",4,220,900)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-0.2258445459999999</v>
      </c>
      <c r="G1677" t="n">
        <v>0.014744948162345</v>
      </c>
      <c r="H1677" t="n">
        <v>0.0424779010368434</v>
      </c>
      <c r="I1677" t="n">
        <v>0.0077908442699223</v>
      </c>
      <c r="J1677" t="n">
        <v>0.3740445604634654</v>
      </c>
      <c r="K1677" t="n">
        <v>0.0972724142221011</v>
      </c>
      <c r="L1677" t="b">
        <v>1</v>
      </c>
      <c r="M1677" t="b">
        <v>1</v>
      </c>
      <c r="N1677" t="inlineStr">
        <is>
          <t>ref</t>
        </is>
      </c>
      <c r="O1677" t="n">
        <v>45</v>
      </c>
      <c r="P1677" t="n">
        <v>0.004265</v>
      </c>
      <c r="Q1677" t="n">
        <v>40</v>
      </c>
      <c r="R1677" t="n">
        <v>0.1831</v>
      </c>
      <c r="S1677">
        <f>IMAGE("https://mitra.stanford.edu/kundaje/oak/projects/neuro-variants/variant_position/credible/roussos_2024/variant_figures/roussos_2024.childhood.Astrocyte/rs62054419_count_position.png",4,220,900)</f>
        <v/>
      </c>
      <c r="T1677">
        <f>IMAGE("https://mitra.stanford.edu/kundaje/oak/projects/neuro-variants/variant_position/credible/roussos_2024/variant_figures/roussos_2024.childhood.Astrocyte/rs62054419_profile_position.png",4,220,900)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0.195610588</v>
      </c>
      <c r="G1678" t="n">
        <v>0.0169533878269568</v>
      </c>
      <c r="H1678" t="n">
        <v>0.0317731022568388</v>
      </c>
      <c r="I1678" t="n">
        <v>0.0246246568261707</v>
      </c>
      <c r="J1678" t="n">
        <v>0.6033080686649417</v>
      </c>
      <c r="K1678" t="n">
        <v>0.0329711757155142</v>
      </c>
      <c r="L1678" t="b">
        <v>1</v>
      </c>
      <c r="M1678" t="b">
        <v>0</v>
      </c>
      <c r="N1678" t="inlineStr">
        <is>
          <t>alt</t>
        </is>
      </c>
      <c r="O1678" t="n">
        <v>-100</v>
      </c>
      <c r="P1678" t="n">
        <v>0.1143</v>
      </c>
      <c r="Q1678" t="n">
        <v>-100</v>
      </c>
      <c r="R1678" t="n">
        <v>0.631</v>
      </c>
      <c r="S1678">
        <f>IMAGE("https://mitra.stanford.edu/kundaje/oak/projects/neuro-variants/variant_position/credible/roussos_2024/variant_figures/roussos_2024.childhood.Astrocyte/rs17563827_count_position.png",4,220,900)</f>
        <v/>
      </c>
      <c r="T1678">
        <f>IMAGE("https://mitra.stanford.edu/kundaje/oak/projects/neuro-variants/variant_position/credible/roussos_2024/variant_figures/roussos_2024.childhood.Astrocyte/rs17563827_profile_position.png",4,220,900)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-0.0211925697</v>
      </c>
      <c r="G1679" t="n">
        <v>0.4057077988387406</v>
      </c>
      <c r="H1679" t="n">
        <v>0.0109827359955381</v>
      </c>
      <c r="I1679" t="n">
        <v>0.6026005219288946</v>
      </c>
      <c r="J1679" t="n">
        <v>0.0357674429255111</v>
      </c>
      <c r="K1679" t="n">
        <v>0.50566259487837</v>
      </c>
      <c r="L1679" t="b">
        <v>0</v>
      </c>
      <c r="M1679" t="b">
        <v>0</v>
      </c>
      <c r="N1679" t="inlineStr">
        <is>
          <t>ref</t>
        </is>
      </c>
      <c r="O1679" t="n">
        <v>-80</v>
      </c>
      <c r="P1679" t="n">
        <v>0.00916</v>
      </c>
      <c r="Q1679" t="n">
        <v>-55</v>
      </c>
      <c r="R1679" t="n">
        <v>0.1707</v>
      </c>
      <c r="S1679">
        <f>IMAGE("https://mitra.stanford.edu/kundaje/oak/projects/neuro-variants/variant_position/credible/roussos_2024/variant_figures/roussos_2024.childhood.Astrocyte/rs62054424_count_position.png",4,220,900)</f>
        <v/>
      </c>
      <c r="T1679">
        <f>IMAGE("https://mitra.stanford.edu/kundaje/oak/projects/neuro-variants/variant_position/credible/roussos_2024/variant_figures/roussos_2024.childhood.Astrocyte/rs62054424_profile_position.png",4,220,900)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0.1105679686</v>
      </c>
      <c r="G1680" t="n">
        <v>0.0669844127044448</v>
      </c>
      <c r="H1680" t="n">
        <v>0.014479471843396</v>
      </c>
      <c r="I1680" t="n">
        <v>0.3253483341287157</v>
      </c>
      <c r="J1680" t="n">
        <v>0.018479082228481</v>
      </c>
      <c r="K1680" t="n">
        <v>0.6124579751950081</v>
      </c>
      <c r="L1680" t="b">
        <v>0</v>
      </c>
      <c r="M1680" t="b">
        <v>0</v>
      </c>
      <c r="N1680" t="inlineStr">
        <is>
          <t>alt</t>
        </is>
      </c>
      <c r="O1680" t="n">
        <v>95</v>
      </c>
      <c r="P1680" t="n">
        <v>0.015076</v>
      </c>
      <c r="Q1680" t="n">
        <v>100</v>
      </c>
      <c r="R1680" t="n">
        <v>0.1863</v>
      </c>
      <c r="S1680">
        <f>IMAGE("https://mitra.stanford.edu/kundaje/oak/projects/neuro-variants/variant_position/credible/roussos_2024/variant_figures/roussos_2024.childhood.Astrocyte/rs62054426_count_position.png",4,220,900)</f>
        <v/>
      </c>
      <c r="T1680">
        <f>IMAGE("https://mitra.stanford.edu/kundaje/oak/projects/neuro-variants/variant_position/credible/roussos_2024/variant_figures/roussos_2024.childhood.Astrocyte/rs62054426_profile_position.png",4,220,900)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0.01406831072</v>
      </c>
      <c r="G1681" t="n">
        <v>0.5915750910664158</v>
      </c>
      <c r="H1681" t="n">
        <v>0.0247040259060557</v>
      </c>
      <c r="I1681" t="n">
        <v>0.0608268063112054</v>
      </c>
      <c r="J1681" t="n">
        <v>0.1884156534084403</v>
      </c>
      <c r="K1681" t="n">
        <v>0.2118792633589349</v>
      </c>
      <c r="L1681" t="b">
        <v>0</v>
      </c>
      <c r="M1681" t="b">
        <v>0</v>
      </c>
      <c r="N1681" t="inlineStr">
        <is>
          <t>alt</t>
        </is>
      </c>
      <c r="O1681" t="n">
        <v>45</v>
      </c>
      <c r="P1681" t="n">
        <v>0.0324</v>
      </c>
      <c r="Q1681" t="n">
        <v>-80</v>
      </c>
      <c r="R1681" t="n">
        <v>0.2524</v>
      </c>
      <c r="S1681">
        <f>IMAGE("https://mitra.stanford.edu/kundaje/oak/projects/neuro-variants/variant_position/credible/roussos_2024/variant_figures/roussos_2024.childhood.Astrocyte/rs74464991_count_position.png",4,220,900)</f>
        <v/>
      </c>
      <c r="T1681">
        <f>IMAGE("https://mitra.stanford.edu/kundaje/oak/projects/neuro-variants/variant_position/credible/roussos_2024/variant_figures/roussos_2024.childhood.Astrocyte/rs74464991_profile_position.png",4,220,900)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0.01051005444</v>
      </c>
      <c r="G1682" t="n">
        <v>0.6930031158772718</v>
      </c>
      <c r="H1682" t="n">
        <v>0.0152332391840748</v>
      </c>
      <c r="I1682" t="n">
        <v>0.2837019316313224</v>
      </c>
      <c r="J1682" t="n">
        <v>0.0765923992275574</v>
      </c>
      <c r="K1682" t="n">
        <v>0.377996144526301</v>
      </c>
      <c r="L1682" t="b">
        <v>0</v>
      </c>
      <c r="M1682" t="b">
        <v>0</v>
      </c>
      <c r="N1682" t="inlineStr">
        <is>
          <t>alt</t>
        </is>
      </c>
      <c r="O1682" t="n">
        <v>-20</v>
      </c>
      <c r="P1682" t="n">
        <v>0.003265</v>
      </c>
      <c r="Q1682" t="n">
        <v>100</v>
      </c>
      <c r="R1682" t="n">
        <v>0.2615</v>
      </c>
      <c r="S1682">
        <f>IMAGE("https://mitra.stanford.edu/kundaje/oak/projects/neuro-variants/variant_position/credible/roussos_2024/variant_figures/roussos_2024.childhood.Astrocyte/rs2004260_count_position.png",4,220,900)</f>
        <v/>
      </c>
      <c r="T1682">
        <f>IMAGE("https://mitra.stanford.edu/kundaje/oak/projects/neuro-variants/variant_position/credible/roussos_2024/variant_figures/roussos_2024.childhood.Astrocyte/rs2004260_profile_position.png",4,220,900)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-0.246216932</v>
      </c>
      <c r="G1683" t="n">
        <v>0.0109470006571726</v>
      </c>
      <c r="H1683" t="n">
        <v>0.0291043576929388</v>
      </c>
      <c r="I1683" t="n">
        <v>0.0361416487882591</v>
      </c>
      <c r="J1683" t="n">
        <v>0.3244220039232747</v>
      </c>
      <c r="K1683" t="n">
        <v>0.119928267384474</v>
      </c>
      <c r="L1683" t="b">
        <v>1</v>
      </c>
      <c r="M1683" t="b">
        <v>0</v>
      </c>
      <c r="N1683" t="inlineStr">
        <is>
          <t>ref</t>
        </is>
      </c>
      <c r="O1683" t="n">
        <v>-55</v>
      </c>
      <c r="P1683" t="n">
        <v>0.008529999999999999</v>
      </c>
      <c r="Q1683" t="n">
        <v>-40</v>
      </c>
      <c r="R1683" t="n">
        <v>0.1377</v>
      </c>
      <c r="S1683">
        <f>IMAGE("https://mitra.stanford.edu/kundaje/oak/projects/neuro-variants/variant_position/credible/roussos_2024/variant_figures/roussos_2024.childhood.Astrocyte/rs75715199_count_position.png",4,220,900)</f>
        <v/>
      </c>
      <c r="T1683">
        <f>IMAGE("https://mitra.stanford.edu/kundaje/oak/projects/neuro-variants/variant_position/credible/roussos_2024/variant_figures/roussos_2024.childhood.Astrocyte/rs75715199_profile_position.png",4,220,900)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-0.004415958046</v>
      </c>
      <c r="G1684" t="n">
        <v>0.6916141362377309</v>
      </c>
      <c r="H1684" t="n">
        <v>0.0169278899366018</v>
      </c>
      <c r="I1684" t="n">
        <v>0.211394912098499</v>
      </c>
      <c r="J1684" t="n">
        <v>0.3336249074519323</v>
      </c>
      <c r="K1684" t="n">
        <v>0.1154293830516488</v>
      </c>
      <c r="L1684" t="b">
        <v>0</v>
      </c>
      <c r="M1684" t="b">
        <v>0</v>
      </c>
      <c r="N1684" t="inlineStr">
        <is>
          <t>ref</t>
        </is>
      </c>
      <c r="O1684" t="n">
        <v>-100</v>
      </c>
      <c r="P1684" t="n">
        <v>0.008514000000000001</v>
      </c>
      <c r="Q1684" t="n">
        <v>95</v>
      </c>
      <c r="R1684" t="n">
        <v>0.1432</v>
      </c>
      <c r="S1684">
        <f>IMAGE("https://mitra.stanford.edu/kundaje/oak/projects/neuro-variants/variant_position/credible/roussos_2024/variant_figures/roussos_2024.childhood.Astrocyte/rs62054439_count_position.png",4,220,900)</f>
        <v/>
      </c>
      <c r="T1684">
        <f>IMAGE("https://mitra.stanford.edu/kundaje/oak/projects/neuro-variants/variant_position/credible/roussos_2024/variant_figures/roussos_2024.childhood.Astrocyte/rs62054439_profile_position.png",4,220,900)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0.09458318020000001</v>
      </c>
      <c r="G1685" t="n">
        <v>0.0836631893677458</v>
      </c>
      <c r="H1685" t="n">
        <v>0.0137043924032503</v>
      </c>
      <c r="I1685" t="n">
        <v>0.3725919217387141</v>
      </c>
      <c r="J1685" t="n">
        <v>0.2211261477868608</v>
      </c>
      <c r="K1685" t="n">
        <v>0.1830584829637114</v>
      </c>
      <c r="L1685" t="b">
        <v>0</v>
      </c>
      <c r="M1685" t="b">
        <v>0</v>
      </c>
      <c r="N1685" t="inlineStr">
        <is>
          <t>alt</t>
        </is>
      </c>
      <c r="O1685" t="n">
        <v>50</v>
      </c>
      <c r="P1685" t="n">
        <v>0.001404</v>
      </c>
      <c r="Q1685" t="n">
        <v>55</v>
      </c>
      <c r="R1685" t="n">
        <v>0.04602</v>
      </c>
      <c r="S1685">
        <f>IMAGE("https://mitra.stanford.edu/kundaje/oak/projects/neuro-variants/variant_position/credible/roussos_2024/variant_figures/roussos_2024.childhood.Astrocyte/rs12150363_count_position.png",4,220,900)</f>
        <v/>
      </c>
      <c r="T1685">
        <f>IMAGE("https://mitra.stanford.edu/kundaje/oak/projects/neuro-variants/variant_position/credible/roussos_2024/variant_figures/roussos_2024.childhood.Astrocyte/rs12150363_profile_position.png",4,220,900)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0.0396056368639999</v>
      </c>
      <c r="G1686" t="n">
        <v>0.2868408338584233</v>
      </c>
      <c r="H1686" t="n">
        <v>0.0155197071436304</v>
      </c>
      <c r="I1686" t="n">
        <v>0.27403940036877</v>
      </c>
      <c r="J1686" t="n">
        <v>0.1154526650027096</v>
      </c>
      <c r="K1686" t="n">
        <v>0.3064725387665102</v>
      </c>
      <c r="L1686" t="b">
        <v>0</v>
      </c>
      <c r="M1686" t="b">
        <v>0</v>
      </c>
      <c r="N1686" t="inlineStr">
        <is>
          <t>alt</t>
        </is>
      </c>
      <c r="O1686" t="n">
        <v>-100</v>
      </c>
      <c r="P1686" t="n">
        <v>0.01318</v>
      </c>
      <c r="Q1686" t="n">
        <v>-95</v>
      </c>
      <c r="R1686" t="n">
        <v>0.11475</v>
      </c>
      <c r="S1686">
        <f>IMAGE("https://mitra.stanford.edu/kundaje/oak/projects/neuro-variants/variant_position/credible/roussos_2024/variant_figures/roussos_2024.childhood.Astrocyte/rs62054440_count_position.png",4,220,900)</f>
        <v/>
      </c>
      <c r="T1686">
        <f>IMAGE("https://mitra.stanford.edu/kundaje/oak/projects/neuro-variants/variant_position/credible/roussos_2024/variant_figures/roussos_2024.childhood.Astrocyte/rs62054440_profile_position.png",4,220,900)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0.1478632492</v>
      </c>
      <c r="G1687" t="n">
        <v>0.0324043587773566</v>
      </c>
      <c r="H1687" t="n">
        <v>0.0198201191632048</v>
      </c>
      <c r="I1687" t="n">
        <v>0.1369937379105172</v>
      </c>
      <c r="J1687" t="n">
        <v>0.3119560654286215</v>
      </c>
      <c r="K1687" t="n">
        <v>0.1273751452342382</v>
      </c>
      <c r="L1687" t="b">
        <v>0</v>
      </c>
      <c r="M1687" t="b">
        <v>0</v>
      </c>
      <c r="N1687" t="inlineStr">
        <is>
          <t>alt</t>
        </is>
      </c>
      <c r="O1687" t="n">
        <v>35</v>
      </c>
      <c r="P1687" t="n">
        <v>0.002357</v>
      </c>
      <c r="Q1687" t="n">
        <v>-20</v>
      </c>
      <c r="R1687" t="n">
        <v>0.0614</v>
      </c>
      <c r="S1687">
        <f>IMAGE("https://mitra.stanford.edu/kundaje/oak/projects/neuro-variants/variant_position/credible/roussos_2024/variant_figures/roussos_2024.childhood.Astrocyte/rs12150604_count_position.png",4,220,900)</f>
        <v/>
      </c>
      <c r="T1687">
        <f>IMAGE("https://mitra.stanford.edu/kundaje/oak/projects/neuro-variants/variant_position/credible/roussos_2024/variant_figures/roussos_2024.childhood.Astrocyte/rs12150604_profile_position.png",4,220,900)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-0.0647260714</v>
      </c>
      <c r="G1688" t="n">
        <v>0.1548687139327556</v>
      </c>
      <c r="H1688" t="n">
        <v>0.0120951522922691</v>
      </c>
      <c r="I1688" t="n">
        <v>0.5037157590289646</v>
      </c>
      <c r="J1688" t="n">
        <v>0.5098547472388236</v>
      </c>
      <c r="K1688" t="n">
        <v>0.0533335306451005</v>
      </c>
      <c r="L1688" t="b">
        <v>0</v>
      </c>
      <c r="M1688" t="b">
        <v>0</v>
      </c>
      <c r="N1688" t="inlineStr">
        <is>
          <t>ref</t>
        </is>
      </c>
      <c r="O1688" t="n">
        <v>100</v>
      </c>
      <c r="P1688" t="n">
        <v>0.01449</v>
      </c>
      <c r="Q1688" t="n">
        <v>15</v>
      </c>
      <c r="R1688" t="n">
        <v>0.005493</v>
      </c>
      <c r="S1688">
        <f>IMAGE("https://mitra.stanford.edu/kundaje/oak/projects/neuro-variants/variant_position/credible/roussos_2024/variant_figures/roussos_2024.childhood.Astrocyte/rs17426064_count_position.png",4,220,900)</f>
        <v/>
      </c>
      <c r="T1688">
        <f>IMAGE("https://mitra.stanford.edu/kundaje/oak/projects/neuro-variants/variant_position/credible/roussos_2024/variant_figures/roussos_2024.childhood.Astrocyte/rs17426064_profile_position.png",4,220,900)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0.0383441688</v>
      </c>
      <c r="G1689" t="n">
        <v>0.2991753028901222</v>
      </c>
      <c r="H1689" t="n">
        <v>0.0213571548964249</v>
      </c>
      <c r="I1689" t="n">
        <v>0.1052650696626219</v>
      </c>
      <c r="J1689" t="n">
        <v>0.4424499858792639</v>
      </c>
      <c r="K1689" t="n">
        <v>0.0724623867919134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0.02658</v>
      </c>
      <c r="Q1689" t="n">
        <v>-100</v>
      </c>
      <c r="R1689" t="n">
        <v>0.1978</v>
      </c>
      <c r="S1689">
        <f>IMAGE("https://mitra.stanford.edu/kundaje/oak/projects/neuro-variants/variant_position/credible/roussos_2024/variant_figures/roussos_2024.childhood.Astrocyte/rs62054442_count_position.png",4,220,900)</f>
        <v/>
      </c>
      <c r="T1689">
        <f>IMAGE("https://mitra.stanford.edu/kundaje/oak/projects/neuro-variants/variant_position/credible/roussos_2024/variant_figures/roussos_2024.childhood.Astrocyte/rs62054442_profile_position.png",4,220,900)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0.0564454014</v>
      </c>
      <c r="G1690" t="n">
        <v>0.183633212022261</v>
      </c>
      <c r="H1690" t="n">
        <v>0.0128074988932805</v>
      </c>
      <c r="I1690" t="n">
        <v>0.4426439557519857</v>
      </c>
      <c r="J1690" t="n">
        <v>0.0366436918473739</v>
      </c>
      <c r="K1690" t="n">
        <v>0.4958039352697213</v>
      </c>
      <c r="L1690" t="b">
        <v>0</v>
      </c>
      <c r="M1690" t="b">
        <v>0</v>
      </c>
      <c r="N1690" t="inlineStr">
        <is>
          <t>alt</t>
        </is>
      </c>
      <c r="O1690" t="n">
        <v>-75</v>
      </c>
      <c r="P1690" t="n">
        <v>0.02757</v>
      </c>
      <c r="Q1690" t="n">
        <v>-20</v>
      </c>
      <c r="R1690" t="n">
        <v>0.04547</v>
      </c>
      <c r="S1690">
        <f>IMAGE("https://mitra.stanford.edu/kundaje/oak/projects/neuro-variants/variant_position/credible/roussos_2024/variant_figures/roussos_2024.childhood.Astrocyte/rs35631660_count_position.png",4,220,900)</f>
        <v/>
      </c>
      <c r="T1690">
        <f>IMAGE("https://mitra.stanford.edu/kundaje/oak/projects/neuro-variants/variant_position/credible/roussos_2024/variant_figures/roussos_2024.childhood.Astrocyte/rs35631660_profile_position.png",4,220,900)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0.0615504968</v>
      </c>
      <c r="G1691" t="n">
        <v>0.1556394317335416</v>
      </c>
      <c r="H1691" t="n">
        <v>0.013794326197777</v>
      </c>
      <c r="I1691" t="n">
        <v>0.3741412095101131</v>
      </c>
      <c r="J1691" t="n">
        <v>0.0624731896834664</v>
      </c>
      <c r="K1691" t="n">
        <v>0.4097496219801148</v>
      </c>
      <c r="L1691" t="b">
        <v>0</v>
      </c>
      <c r="M1691" t="b">
        <v>0</v>
      </c>
      <c r="N1691" t="inlineStr">
        <is>
          <t>alt</t>
        </is>
      </c>
      <c r="O1691" t="n">
        <v>-75</v>
      </c>
      <c r="P1691" t="n">
        <v>0.005722</v>
      </c>
      <c r="Q1691" t="n">
        <v>-100</v>
      </c>
      <c r="R1691" t="n">
        <v>0.2451</v>
      </c>
      <c r="S1691">
        <f>IMAGE("https://mitra.stanford.edu/kundaje/oak/projects/neuro-variants/variant_position/credible/roussos_2024/variant_figures/roussos_2024.childhood.Astrocyte/rs62055876_count_position.png",4,220,900)</f>
        <v/>
      </c>
      <c r="T1691">
        <f>IMAGE("https://mitra.stanford.edu/kundaje/oak/projects/neuro-variants/variant_position/credible/roussos_2024/variant_figures/roussos_2024.childhood.Astrocyte/rs62055876_profile_position.png",4,220,900)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0.0280556037999999</v>
      </c>
      <c r="G1692" t="n">
        <v>0.2605625050027979</v>
      </c>
      <c r="H1692" t="n">
        <v>0.0150786768563903</v>
      </c>
      <c r="I1692" t="n">
        <v>0.3063619680471354</v>
      </c>
      <c r="J1692" t="n">
        <v>0.4033164647783043</v>
      </c>
      <c r="K1692" t="n">
        <v>0.08615977552636719</v>
      </c>
      <c r="L1692" t="b">
        <v>0</v>
      </c>
      <c r="M1692" t="b">
        <v>0</v>
      </c>
      <c r="N1692" t="inlineStr">
        <is>
          <t>alt</t>
        </is>
      </c>
      <c r="O1692" t="n">
        <v>-100</v>
      </c>
      <c r="P1692" t="n">
        <v>0.02518</v>
      </c>
      <c r="Q1692" t="n">
        <v>-100</v>
      </c>
      <c r="R1692" t="n">
        <v>0.324</v>
      </c>
      <c r="S1692">
        <f>IMAGE("https://mitra.stanford.edu/kundaje/oak/projects/neuro-variants/variant_position/credible/roussos_2024/variant_figures/roussos_2024.childhood.Astrocyte/rs34579278_count_position.png",4,220,900)</f>
        <v/>
      </c>
      <c r="T1692">
        <f>IMAGE("https://mitra.stanford.edu/kundaje/oak/projects/neuro-variants/variant_position/credible/roussos_2024/variant_figures/roussos_2024.childhood.Astrocyte/rs34579278_profile_position.png",4,220,900)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0.0370691154</v>
      </c>
      <c r="G1693" t="n">
        <v>0.3080461932216579</v>
      </c>
      <c r="H1693" t="n">
        <v>0.0108124560313431</v>
      </c>
      <c r="I1693" t="n">
        <v>0.6342055729278534</v>
      </c>
      <c r="J1693" t="n">
        <v>0.3693320510178378</v>
      </c>
      <c r="K1693" t="n">
        <v>0.0991102949542052</v>
      </c>
      <c r="L1693" t="b">
        <v>0</v>
      </c>
      <c r="M1693" t="b">
        <v>0</v>
      </c>
      <c r="N1693" t="inlineStr">
        <is>
          <t>alt</t>
        </is>
      </c>
      <c r="O1693" t="n">
        <v>-100</v>
      </c>
      <c r="P1693" t="n">
        <v>0.0518</v>
      </c>
      <c r="Q1693" t="n">
        <v>-100</v>
      </c>
      <c r="R1693" t="n">
        <v>0.175</v>
      </c>
      <c r="S1693">
        <f>IMAGE("https://mitra.stanford.edu/kundaje/oak/projects/neuro-variants/variant_position/credible/roussos_2024/variant_figures/roussos_2024.childhood.Astrocyte/rs34211253_count_position.png",4,220,900)</f>
        <v/>
      </c>
      <c r="T1693">
        <f>IMAGE("https://mitra.stanford.edu/kundaje/oak/projects/neuro-variants/variant_position/credible/roussos_2024/variant_figures/roussos_2024.childhood.Astrocyte/rs34211253_profile_position.png",4,220,900)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0.0385677861999999</v>
      </c>
      <c r="G1694" t="n">
        <v>0.3023466279798761</v>
      </c>
      <c r="H1694" t="n">
        <v>0.0112000506144197</v>
      </c>
      <c r="I1694" t="n">
        <v>0.5918417286214807</v>
      </c>
      <c r="J1694" t="n">
        <v>0.3705388014929816</v>
      </c>
      <c r="K1694" t="n">
        <v>0.09840873335227129</v>
      </c>
      <c r="L1694" t="b">
        <v>0</v>
      </c>
      <c r="M1694" t="b">
        <v>0</v>
      </c>
      <c r="N1694" t="inlineStr">
        <is>
          <t>alt</t>
        </is>
      </c>
      <c r="O1694" t="n">
        <v>-100</v>
      </c>
      <c r="P1694" t="n">
        <v>0.008194</v>
      </c>
      <c r="Q1694" t="n">
        <v>60</v>
      </c>
      <c r="R1694" t="n">
        <v>0.12286</v>
      </c>
      <c r="S1694">
        <f>IMAGE("https://mitra.stanford.edu/kundaje/oak/projects/neuro-variants/variant_position/credible/roussos_2024/variant_figures/roussos_2024.childhood.Astrocyte/rs11079717_count_position.png",4,220,900)</f>
        <v/>
      </c>
      <c r="T1694">
        <f>IMAGE("https://mitra.stanford.edu/kundaje/oak/projects/neuro-variants/variant_position/credible/roussos_2024/variant_figures/roussos_2024.childhood.Astrocyte/rs11079717_profile_position.png",4,220,900)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0.00038163948</v>
      </c>
      <c r="G1695" t="n">
        <v>0.856705236561893</v>
      </c>
      <c r="H1695" t="n">
        <v>0.0198488501307674</v>
      </c>
      <c r="I1695" t="n">
        <v>0.1329727290921543</v>
      </c>
      <c r="J1695" t="n">
        <v>0.0373314098600901</v>
      </c>
      <c r="K1695" t="n">
        <v>0.5107498848910755</v>
      </c>
      <c r="L1695" t="b">
        <v>0</v>
      </c>
      <c r="M1695" t="b">
        <v>0</v>
      </c>
      <c r="N1695" t="inlineStr">
        <is>
          <t>alt</t>
        </is>
      </c>
      <c r="O1695" t="n">
        <v>-100</v>
      </c>
      <c r="P1695" t="n">
        <v>0.00673</v>
      </c>
      <c r="Q1695" t="n">
        <v>40</v>
      </c>
      <c r="R1695" t="n">
        <v>0.1142</v>
      </c>
      <c r="S1695">
        <f>IMAGE("https://mitra.stanford.edu/kundaje/oak/projects/neuro-variants/variant_position/credible/roussos_2024/variant_figures/roussos_2024.childhood.Astrocyte/rs56168907_count_position.png",4,220,900)</f>
        <v/>
      </c>
      <c r="T1695">
        <f>IMAGE("https://mitra.stanford.edu/kundaje/oak/projects/neuro-variants/variant_position/credible/roussos_2024/variant_figures/roussos_2024.childhood.Astrocyte/rs56168907_profile_position.png",4,220,900)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-0.0888682982</v>
      </c>
      <c r="G1696" t="n">
        <v>0.09207500590838349</v>
      </c>
      <c r="H1696" t="n">
        <v>0.0160773569613886</v>
      </c>
      <c r="I1696" t="n">
        <v>0.2553455584024753</v>
      </c>
      <c r="J1696" t="n">
        <v>0.0313007106165036</v>
      </c>
      <c r="K1696" t="n">
        <v>0.5471792053521126</v>
      </c>
      <c r="L1696" t="b">
        <v>0</v>
      </c>
      <c r="M1696" t="b">
        <v>0</v>
      </c>
      <c r="N1696" t="inlineStr">
        <is>
          <t>ref</t>
        </is>
      </c>
      <c r="O1696" t="n">
        <v>100</v>
      </c>
      <c r="P1696" t="n">
        <v>0.005493</v>
      </c>
      <c r="Q1696" t="n">
        <v>-100</v>
      </c>
      <c r="R1696" t="n">
        <v>0.1917</v>
      </c>
      <c r="S1696">
        <f>IMAGE("https://mitra.stanford.edu/kundaje/oak/projects/neuro-variants/variant_position/credible/roussos_2024/variant_figures/roussos_2024.childhood.Astrocyte/rs55801356_count_position.png",4,220,900)</f>
        <v/>
      </c>
      <c r="T1696">
        <f>IMAGE("https://mitra.stanford.edu/kundaje/oak/projects/neuro-variants/variant_position/credible/roussos_2024/variant_figures/roussos_2024.childhood.Astrocyte/rs55801356_profile_position.png",4,220,900)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-0.5929456479999999</v>
      </c>
      <c r="G1697" t="n">
        <v>0.0006556501859882</v>
      </c>
      <c r="H1697" t="n">
        <v>0.0570764050574493</v>
      </c>
      <c r="I1697" t="n">
        <v>0.0028444495500961</v>
      </c>
      <c r="J1697" t="n">
        <v>0.4694961568699288</v>
      </c>
      <c r="K1697" t="n">
        <v>0.0615602443485298</v>
      </c>
      <c r="L1697" t="b">
        <v>1</v>
      </c>
      <c r="M1697" t="b">
        <v>1</v>
      </c>
      <c r="N1697" t="inlineStr">
        <is>
          <t>ref</t>
        </is>
      </c>
      <c r="O1697" t="n">
        <v>-100</v>
      </c>
      <c r="P1697" t="n">
        <v>0.015274</v>
      </c>
      <c r="Q1697" t="n">
        <v>5</v>
      </c>
      <c r="R1697" t="n">
        <v>0.001953</v>
      </c>
      <c r="S1697">
        <f>IMAGE("https://mitra.stanford.edu/kundaje/oak/projects/neuro-variants/variant_position/credible/roussos_2024/variant_figures/roussos_2024.childhood.Astrocyte/rs62055890_count_position.png",4,220,900)</f>
        <v/>
      </c>
      <c r="T1697">
        <f>IMAGE("https://mitra.stanford.edu/kundaje/oak/projects/neuro-variants/variant_position/credible/roussos_2024/variant_figures/roussos_2024.childhood.Astrocyte/rs62055890_profile_position.png",4,220,900)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0.0116310477999999</v>
      </c>
      <c r="G1698" t="n">
        <v>0.5643901937771879</v>
      </c>
      <c r="H1698" t="n">
        <v>0.0081456446079692</v>
      </c>
      <c r="I1698" t="n">
        <v>0.8944465008856758</v>
      </c>
      <c r="J1698" t="n">
        <v>0.0567241418790501</v>
      </c>
      <c r="K1698" t="n">
        <v>0.4404044454754152</v>
      </c>
      <c r="L1698" t="b">
        <v>0</v>
      </c>
      <c r="M1698" t="b">
        <v>0</v>
      </c>
      <c r="N1698" t="inlineStr">
        <is>
          <t>alt</t>
        </is>
      </c>
      <c r="O1698" t="n">
        <v>-100</v>
      </c>
      <c r="P1698" t="n">
        <v>0.09424</v>
      </c>
      <c r="Q1698" t="n">
        <v>-100</v>
      </c>
      <c r="R1698" t="n">
        <v>0.2593</v>
      </c>
      <c r="S1698">
        <f>IMAGE("https://mitra.stanford.edu/kundaje/oak/projects/neuro-variants/variant_position/credible/roussos_2024/variant_figures/roussos_2024.childhood.Astrocyte/rs56369036_count_position.png",4,220,900)</f>
        <v/>
      </c>
      <c r="T1698">
        <f>IMAGE("https://mitra.stanford.edu/kundaje/oak/projects/neuro-variants/variant_position/credible/roussos_2024/variant_figures/roussos_2024.childhood.Astrocyte/rs56369036_profile_position.png",4,220,900)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0.0127556933259999</v>
      </c>
      <c r="G1699" t="n">
        <v>0.5332966289557173</v>
      </c>
      <c r="H1699" t="n">
        <v>0.0133769688930194</v>
      </c>
      <c r="I1699" t="n">
        <v>0.393542116088075</v>
      </c>
      <c r="J1699" t="n">
        <v>0.341372230236694</v>
      </c>
      <c r="K1699" t="n">
        <v>0.1119865571666647</v>
      </c>
      <c r="L1699" t="b">
        <v>0</v>
      </c>
      <c r="M1699" t="b">
        <v>0</v>
      </c>
      <c r="N1699" t="inlineStr">
        <is>
          <t>alt</t>
        </is>
      </c>
      <c r="O1699" t="n">
        <v>-100</v>
      </c>
      <c r="P1699" t="n">
        <v>0.03412</v>
      </c>
      <c r="Q1699" t="n">
        <v>-100</v>
      </c>
      <c r="R1699" t="n">
        <v>0.1598</v>
      </c>
      <c r="S1699">
        <f>IMAGE("https://mitra.stanford.edu/kundaje/oak/projects/neuro-variants/variant_position/credible/roussos_2024/variant_figures/roussos_2024.childhood.Astrocyte/rs55707339_count_position.png",4,220,900)</f>
        <v/>
      </c>
      <c r="T1699">
        <f>IMAGE("https://mitra.stanford.edu/kundaje/oak/projects/neuro-variants/variant_position/credible/roussos_2024/variant_figures/roussos_2024.childhood.Astrocyte/rs55707339_profile_position.png",4,220,900)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-0.01722224366</v>
      </c>
      <c r="G1700" t="n">
        <v>0.5249526749128036</v>
      </c>
      <c r="H1700" t="n">
        <v>0.0093892431078201</v>
      </c>
      <c r="I1700" t="n">
        <v>0.7820936334310152</v>
      </c>
      <c r="J1700" t="n">
        <v>0.0199026050849915</v>
      </c>
      <c r="K1700" t="n">
        <v>0.5963831425873313</v>
      </c>
      <c r="L1700" t="b">
        <v>0</v>
      </c>
      <c r="M1700" t="b">
        <v>0</v>
      </c>
      <c r="N1700" t="inlineStr">
        <is>
          <t>ref</t>
        </is>
      </c>
      <c r="O1700" t="n">
        <v>-60</v>
      </c>
      <c r="P1700" t="n">
        <v>0.003223</v>
      </c>
      <c r="Q1700" t="n">
        <v>65</v>
      </c>
      <c r="R1700" t="n">
        <v>0.05176</v>
      </c>
      <c r="S1700">
        <f>IMAGE("https://mitra.stanford.edu/kundaje/oak/projects/neuro-variants/variant_position/credible/roussos_2024/variant_figures/roussos_2024.childhood.Astrocyte/rs62055894_count_position.png",4,220,900)</f>
        <v/>
      </c>
      <c r="T1700">
        <f>IMAGE("https://mitra.stanford.edu/kundaje/oak/projects/neuro-variants/variant_position/credible/roussos_2024/variant_figures/roussos_2024.childhood.Astrocyte/rs62055894_profile_position.png",4,220,900)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0.0052021448</v>
      </c>
      <c r="G1701" t="n">
        <v>0.4888620743677037</v>
      </c>
      <c r="H1701" t="n">
        <v>0.0127186700091932</v>
      </c>
      <c r="I1701" t="n">
        <v>0.451351460416691</v>
      </c>
      <c r="J1701" t="n">
        <v>0.0244571149427919</v>
      </c>
      <c r="K1701" t="n">
        <v>0.5670739638970896</v>
      </c>
      <c r="L1701" t="b">
        <v>0</v>
      </c>
      <c r="M1701" t="b">
        <v>0</v>
      </c>
      <c r="N1701" t="inlineStr">
        <is>
          <t>alt</t>
        </is>
      </c>
      <c r="O1701" t="n">
        <v>10</v>
      </c>
      <c r="P1701" t="n">
        <v>0.0007324</v>
      </c>
      <c r="Q1701" t="n">
        <v>25</v>
      </c>
      <c r="R1701" t="n">
        <v>0.05917</v>
      </c>
      <c r="S1701">
        <f>IMAGE("https://mitra.stanford.edu/kundaje/oak/projects/neuro-variants/variant_position/credible/roussos_2024/variant_figures/roussos_2024.childhood.Astrocyte/rs62055895_count_position.png",4,220,900)</f>
        <v/>
      </c>
      <c r="T1701">
        <f>IMAGE("https://mitra.stanford.edu/kundaje/oak/projects/neuro-variants/variant_position/credible/roussos_2024/variant_figures/roussos_2024.childhood.Astrocyte/rs62055895_profile_position.png",4,220,900)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-0.0038122975599999</v>
      </c>
      <c r="G1702" t="n">
        <v>0.7208243674232963</v>
      </c>
      <c r="H1702" t="n">
        <v>0.013966213173229</v>
      </c>
      <c r="I1702" t="n">
        <v>0.3624366783700283</v>
      </c>
      <c r="J1702" t="n">
        <v>0.0884484745788585</v>
      </c>
      <c r="K1702" t="n">
        <v>0.3631704213167974</v>
      </c>
      <c r="L1702" t="b">
        <v>0</v>
      </c>
      <c r="M1702" t="b">
        <v>0</v>
      </c>
      <c r="N1702" t="inlineStr">
        <is>
          <t>ref</t>
        </is>
      </c>
      <c r="O1702" t="n">
        <v>85</v>
      </c>
      <c r="P1702" t="n">
        <v>0.01947</v>
      </c>
      <c r="Q1702" t="n">
        <v>100</v>
      </c>
      <c r="R1702" t="n">
        <v>0.4028</v>
      </c>
      <c r="S1702">
        <f>IMAGE("https://mitra.stanford.edu/kundaje/oak/projects/neuro-variants/variant_position/credible/roussos_2024/variant_figures/roussos_2024.childhood.Astrocyte/rs55657917_count_position.png",4,220,900)</f>
        <v/>
      </c>
      <c r="T1702">
        <f>IMAGE("https://mitra.stanford.edu/kundaje/oak/projects/neuro-variants/variant_position/credible/roussos_2024/variant_figures/roussos_2024.childhood.Astrocyte/rs55657917_profile_position.png",4,220,900)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-0.0105710154799999</v>
      </c>
      <c r="G1703" t="n">
        <v>0.6570878791409456</v>
      </c>
      <c r="H1703" t="n">
        <v>0.0129460577716811</v>
      </c>
      <c r="I1703" t="n">
        <v>0.4345939651335084</v>
      </c>
      <c r="J1703" t="n">
        <v>0.1551334600383168</v>
      </c>
      <c r="K1703" t="n">
        <v>0.2571110786237168</v>
      </c>
      <c r="L1703" t="b">
        <v>0</v>
      </c>
      <c r="M1703" t="b">
        <v>0</v>
      </c>
      <c r="N1703" t="inlineStr">
        <is>
          <t>ref</t>
        </is>
      </c>
      <c r="O1703" t="n">
        <v>-85</v>
      </c>
      <c r="P1703" t="n">
        <v>0.01165</v>
      </c>
      <c r="Q1703" t="n">
        <v>-90</v>
      </c>
      <c r="R1703" t="n">
        <v>0.3423</v>
      </c>
      <c r="S1703">
        <f>IMAGE("https://mitra.stanford.edu/kundaje/oak/projects/neuro-variants/variant_position/credible/roussos_2024/variant_figures/roussos_2024.childhood.Astrocyte/rs56109643_count_position.png",4,220,900)</f>
        <v/>
      </c>
      <c r="T1703">
        <f>IMAGE("https://mitra.stanford.edu/kundaje/oak/projects/neuro-variants/variant_position/credible/roussos_2024/variant_figures/roussos_2024.childhood.Astrocyte/rs56109643_profile_position.png",4,220,900)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-0.0468576938</v>
      </c>
      <c r="G1704" t="n">
        <v>0.1933484597249985</v>
      </c>
      <c r="H1704" t="n">
        <v>0.0197174168353822</v>
      </c>
      <c r="I1704" t="n">
        <v>0.1469092632897085</v>
      </c>
      <c r="J1704" t="n">
        <v>0.5851571981406425</v>
      </c>
      <c r="K1704" t="n">
        <v>0.0362243896009495</v>
      </c>
      <c r="L1704" t="b">
        <v>0</v>
      </c>
      <c r="M1704" t="b">
        <v>0</v>
      </c>
      <c r="N1704" t="inlineStr">
        <is>
          <t>ref</t>
        </is>
      </c>
      <c r="O1704" t="n">
        <v>40</v>
      </c>
      <c r="P1704" t="n">
        <v>0.001744</v>
      </c>
      <c r="Q1704" t="n">
        <v>35</v>
      </c>
      <c r="R1704" t="n">
        <v>0.08359999999999999</v>
      </c>
      <c r="S1704">
        <f>IMAGE("https://mitra.stanford.edu/kundaje/oak/projects/neuro-variants/variant_position/credible/roussos_2024/variant_figures/roussos_2024.childhood.Astrocyte/rs62055935_count_position.png",4,220,900)</f>
        <v/>
      </c>
      <c r="T1704">
        <f>IMAGE("https://mitra.stanford.edu/kundaje/oak/projects/neuro-variants/variant_position/credible/roussos_2024/variant_figures/roussos_2024.childhood.Astrocyte/rs62055935_profile_position.png",4,220,900)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0.0441488571999999</v>
      </c>
      <c r="G1705" t="n">
        <v>0.2680562489346837</v>
      </c>
      <c r="H1705" t="n">
        <v>0.011450896764533</v>
      </c>
      <c r="I1705" t="n">
        <v>0.5468101918803264</v>
      </c>
      <c r="J1705" t="n">
        <v>0.4465793470876935</v>
      </c>
      <c r="K1705" t="n">
        <v>0.0708864554925097</v>
      </c>
      <c r="L1705" t="b">
        <v>0</v>
      </c>
      <c r="M1705" t="b">
        <v>0</v>
      </c>
      <c r="N1705" t="inlineStr">
        <is>
          <t>alt</t>
        </is>
      </c>
      <c r="O1705" t="n">
        <v>-25</v>
      </c>
      <c r="P1705" t="n">
        <v>0.003098</v>
      </c>
      <c r="Q1705" t="n">
        <v>40</v>
      </c>
      <c r="R1705" t="n">
        <v>0.0577</v>
      </c>
      <c r="S1705">
        <f>IMAGE("https://mitra.stanford.edu/kundaje/oak/projects/neuro-variants/variant_position/credible/roussos_2024/variant_figures/roussos_2024.childhood.Astrocyte/rs62055948_count_position.png",4,220,900)</f>
        <v/>
      </c>
      <c r="T1705">
        <f>IMAGE("https://mitra.stanford.edu/kundaje/oak/projects/neuro-variants/variant_position/credible/roussos_2024/variant_figures/roussos_2024.childhood.Astrocyte/rs62055948_profile_position.png",4,220,900)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-0.0095985113999999</v>
      </c>
      <c r="G1706" t="n">
        <v>0.2868805120851725</v>
      </c>
      <c r="H1706" t="n">
        <v>0.0180842575267955</v>
      </c>
      <c r="I1706" t="n">
        <v>0.1795821792593924</v>
      </c>
      <c r="J1706" t="n">
        <v>0.6896750704128598</v>
      </c>
      <c r="K1706" t="n">
        <v>0.0192251001675937</v>
      </c>
      <c r="L1706" t="b">
        <v>0</v>
      </c>
      <c r="M1706" t="b">
        <v>0</v>
      </c>
      <c r="N1706" t="inlineStr">
        <is>
          <t>ref</t>
        </is>
      </c>
      <c r="O1706" t="n">
        <v>-100</v>
      </c>
      <c r="P1706" t="n">
        <v>0.009520000000000001</v>
      </c>
      <c r="Q1706" t="n">
        <v>-100</v>
      </c>
      <c r="R1706" t="n">
        <v>0.3066</v>
      </c>
      <c r="S1706">
        <f>IMAGE("https://mitra.stanford.edu/kundaje/oak/projects/neuro-variants/variant_position/credible/roussos_2024/variant_figures/roussos_2024.childhood.Astrocyte/rs55787105_count_position.png",4,220,900)</f>
        <v/>
      </c>
      <c r="T1706">
        <f>IMAGE("https://mitra.stanford.edu/kundaje/oak/projects/neuro-variants/variant_position/credible/roussos_2024/variant_figures/roussos_2024.childhood.Astrocyte/rs55787105_profile_position.png",4,220,900)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0.1403330545999999</v>
      </c>
      <c r="G1707" t="n">
        <v>0.0439525135439195</v>
      </c>
      <c r="H1707" t="n">
        <v>0.0236423901101529</v>
      </c>
      <c r="I1707" t="n">
        <v>0.07312855575258261</v>
      </c>
      <c r="J1707" t="n">
        <v>0.7111011884316822</v>
      </c>
      <c r="K1707" t="n">
        <v>0.0167690157106347</v>
      </c>
      <c r="L1707" t="b">
        <v>0</v>
      </c>
      <c r="M1707" t="b">
        <v>0</v>
      </c>
      <c r="N1707" t="inlineStr">
        <is>
          <t>alt</t>
        </is>
      </c>
      <c r="O1707" t="n">
        <v>-95</v>
      </c>
      <c r="P1707" t="n">
        <v>0.00598</v>
      </c>
      <c r="Q1707" t="n">
        <v>-100</v>
      </c>
      <c r="R1707" t="n">
        <v>0.1699</v>
      </c>
      <c r="S1707">
        <f>IMAGE("https://mitra.stanford.edu/kundaje/oak/projects/neuro-variants/variant_position/credible/roussos_2024/variant_figures/roussos_2024.childhood.Astrocyte/rs62055950_count_position.png",4,220,900)</f>
        <v/>
      </c>
      <c r="T1707">
        <f>IMAGE("https://mitra.stanford.edu/kundaje/oak/projects/neuro-variants/variant_position/credible/roussos_2024/variant_figures/roussos_2024.childhood.Astrocyte/rs62055950_profile_position.png",4,220,900)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0.008039490535999999</v>
      </c>
      <c r="G1708" t="n">
        <v>0.7018263670028968</v>
      </c>
      <c r="H1708" t="n">
        <v>0.0282299273653934</v>
      </c>
      <c r="I1708" t="n">
        <v>0.0381461226403736</v>
      </c>
      <c r="J1708" t="n">
        <v>0.0167174249883598</v>
      </c>
      <c r="K1708" t="n">
        <v>0.6245991772390933</v>
      </c>
      <c r="L1708" t="b">
        <v>0</v>
      </c>
      <c r="M1708" t="b">
        <v>0</v>
      </c>
      <c r="N1708" t="inlineStr">
        <is>
          <t>alt</t>
        </is>
      </c>
      <c r="O1708" t="n">
        <v>-90</v>
      </c>
      <c r="P1708" t="n">
        <v>0.06560000000000001</v>
      </c>
      <c r="Q1708" t="n">
        <v>-95</v>
      </c>
      <c r="R1708" t="n">
        <v>0.272</v>
      </c>
      <c r="S1708">
        <f>IMAGE("https://mitra.stanford.edu/kundaje/oak/projects/neuro-variants/variant_position/credible/roussos_2024/variant_figures/roussos_2024.childhood.Astrocyte/rs62057067_count_position.png",4,220,900)</f>
        <v/>
      </c>
      <c r="T1708">
        <f>IMAGE("https://mitra.stanford.edu/kundaje/oak/projects/neuro-variants/variant_position/credible/roussos_2024/variant_figures/roussos_2024.childhood.Astrocyte/rs62057067_profile_position.png",4,220,900)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-0.15648854</v>
      </c>
      <c r="G1709" t="n">
        <v>0.0320542767340206</v>
      </c>
      <c r="H1709" t="n">
        <v>0.0200552242666896</v>
      </c>
      <c r="I1709" t="n">
        <v>0.1306215597955329</v>
      </c>
      <c r="J1709" t="n">
        <v>0.3527634662209093</v>
      </c>
      <c r="K1709" t="n">
        <v>0.1058075688762978</v>
      </c>
      <c r="L1709" t="b">
        <v>0</v>
      </c>
      <c r="M1709" t="b">
        <v>0</v>
      </c>
      <c r="N1709" t="inlineStr">
        <is>
          <t>ref</t>
        </is>
      </c>
      <c r="O1709" t="n">
        <v>-100</v>
      </c>
      <c r="P1709" t="n">
        <v>0.01672</v>
      </c>
      <c r="Q1709" t="n">
        <v>-25</v>
      </c>
      <c r="R1709" t="n">
        <v>0.02515</v>
      </c>
      <c r="S1709">
        <f>IMAGE("https://mitra.stanford.edu/kundaje/oak/projects/neuro-variants/variant_position/credible/roussos_2024/variant_figures/roussos_2024.childhood.Astrocyte/rs117365970_count_position.png",4,220,900)</f>
        <v/>
      </c>
      <c r="T1709">
        <f>IMAGE("https://mitra.stanford.edu/kundaje/oak/projects/neuro-variants/variant_position/credible/roussos_2024/variant_figures/roussos_2024.childhood.Astrocyte/rs117365970_profile_position.png",4,220,900)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-0.07776483126</v>
      </c>
      <c r="G1710" t="n">
        <v>0.1502864927697634</v>
      </c>
      <c r="H1710" t="n">
        <v>0.0256421155531803</v>
      </c>
      <c r="I1710" t="n">
        <v>0.0579627356090588</v>
      </c>
      <c r="J1710" t="n">
        <v>0.3510300504530084</v>
      </c>
      <c r="K1710" t="n">
        <v>0.1065803088593783</v>
      </c>
      <c r="L1710" t="b">
        <v>0</v>
      </c>
      <c r="M1710" t="b">
        <v>0</v>
      </c>
      <c r="N1710" t="inlineStr">
        <is>
          <t>ref</t>
        </is>
      </c>
      <c r="O1710" t="n">
        <v>75</v>
      </c>
      <c r="P1710" t="n">
        <v>0.008959999999999999</v>
      </c>
      <c r="Q1710" t="n">
        <v>-30</v>
      </c>
      <c r="R1710" t="n">
        <v>0.04596</v>
      </c>
      <c r="S1710">
        <f>IMAGE("https://mitra.stanford.edu/kundaje/oak/projects/neuro-variants/variant_position/credible/roussos_2024/variant_figures/roussos_2024.childhood.Astrocyte/rs117646503_count_position.png",4,220,900)</f>
        <v/>
      </c>
      <c r="T1710">
        <f>IMAGE("https://mitra.stanford.edu/kundaje/oak/projects/neuro-variants/variant_position/credible/roussos_2024/variant_figures/roussos_2024.childhood.Astrocyte/rs117646503_profile_position.png",4,220,900)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-0.0350335186</v>
      </c>
      <c r="G1711" t="n">
        <v>0.3347536872854306</v>
      </c>
      <c r="H1711" t="n">
        <v>0.009511407182092599</v>
      </c>
      <c r="I1711" t="n">
        <v>0.7610297521384209</v>
      </c>
      <c r="J1711" t="n">
        <v>0.0691397036935265</v>
      </c>
      <c r="K1711" t="n">
        <v>0.4041977442680554</v>
      </c>
      <c r="L1711" t="b">
        <v>0</v>
      </c>
      <c r="M1711" t="b">
        <v>0</v>
      </c>
      <c r="N1711" t="inlineStr">
        <is>
          <t>ref</t>
        </is>
      </c>
      <c r="O1711" t="n">
        <v>95</v>
      </c>
      <c r="P1711" t="n">
        <v>0.001312</v>
      </c>
      <c r="Q1711" t="n">
        <v>-25</v>
      </c>
      <c r="R1711" t="n">
        <v>0.03223</v>
      </c>
      <c r="S1711">
        <f>IMAGE("https://mitra.stanford.edu/kundaje/oak/projects/neuro-variants/variant_position/credible/roussos_2024/variant_figures/roussos_2024.childhood.Astrocyte/rs28364023_count_position.png",4,220,900)</f>
        <v/>
      </c>
      <c r="T1711">
        <f>IMAGE("https://mitra.stanford.edu/kundaje/oak/projects/neuro-variants/variant_position/credible/roussos_2024/variant_figures/roussos_2024.childhood.Astrocyte/rs28364023_profile_position.png",4,220,900)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0.044016757</v>
      </c>
      <c r="G1712" t="n">
        <v>0.2438980941492722</v>
      </c>
      <c r="H1712" t="n">
        <v>0.0149094658100054</v>
      </c>
      <c r="I1712" t="n">
        <v>0.3095855612526002</v>
      </c>
      <c r="J1712" t="n">
        <v>0.07199209238777821</v>
      </c>
      <c r="K1712" t="n">
        <v>0.3936163610289608</v>
      </c>
      <c r="L1712" t="b">
        <v>0</v>
      </c>
      <c r="M1712" t="b">
        <v>0</v>
      </c>
      <c r="N1712" t="inlineStr">
        <is>
          <t>alt</t>
        </is>
      </c>
      <c r="O1712" t="n">
        <v>-100</v>
      </c>
      <c r="P1712" t="n">
        <v>0.003813</v>
      </c>
      <c r="Q1712" t="n">
        <v>5</v>
      </c>
      <c r="R1712" t="n">
        <v>0.01495</v>
      </c>
      <c r="S1712">
        <f>IMAGE("https://mitra.stanford.edu/kundaje/oak/projects/neuro-variants/variant_position/credible/roussos_2024/variant_figures/roussos_2024.childhood.Astrocyte/rs56099546_count_position.png",4,220,900)</f>
        <v/>
      </c>
      <c r="T1712">
        <f>IMAGE("https://mitra.stanford.edu/kundaje/oak/projects/neuro-variants/variant_position/credible/roussos_2024/variant_figures/roussos_2024.childhood.Astrocyte/rs56099546_profile_position.png",4,220,900)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0.1977642691999999</v>
      </c>
      <c r="G1713" t="n">
        <v>0.0190441455405759</v>
      </c>
      <c r="H1713" t="n">
        <v>0.0285329338462517</v>
      </c>
      <c r="I1713" t="n">
        <v>0.0399110023506014</v>
      </c>
      <c r="J1713" t="n">
        <v>0.1947486127330875</v>
      </c>
      <c r="K1713" t="n">
        <v>0.209070736172961</v>
      </c>
      <c r="L1713" t="b">
        <v>1</v>
      </c>
      <c r="M1713" t="b">
        <v>0</v>
      </c>
      <c r="N1713" t="inlineStr">
        <is>
          <t>alt</t>
        </is>
      </c>
      <c r="O1713" t="n">
        <v>-5</v>
      </c>
      <c r="P1713" t="n">
        <v>0.000269</v>
      </c>
      <c r="Q1713" t="n">
        <v>-5</v>
      </c>
      <c r="R1713" t="n">
        <v>0.001221</v>
      </c>
      <c r="S1713">
        <f>IMAGE("https://mitra.stanford.edu/kundaje/oak/projects/neuro-variants/variant_position/credible/roussos_2024/variant_figures/roussos_2024.childhood.Astrocyte/rs4277389_count_position.png",4,220,900)</f>
        <v/>
      </c>
      <c r="T1713">
        <f>IMAGE("https://mitra.stanford.edu/kundaje/oak/projects/neuro-variants/variant_position/credible/roussos_2024/variant_figures/roussos_2024.childhood.Astrocyte/rs4277389_profile_position.png",4,220,900)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0.264415778</v>
      </c>
      <c r="G1714" t="n">
        <v>0.0078176088755005</v>
      </c>
      <c r="H1714" t="n">
        <v>0.0370034125190168</v>
      </c>
      <c r="I1714" t="n">
        <v>0.0145987051006633</v>
      </c>
      <c r="J1714" t="n">
        <v>0.2526688191248196</v>
      </c>
      <c r="K1714" t="n">
        <v>0.1638833328848081</v>
      </c>
      <c r="L1714" t="b">
        <v>1</v>
      </c>
      <c r="M1714" t="b">
        <v>1</v>
      </c>
      <c r="N1714" t="inlineStr">
        <is>
          <t>alt</t>
        </is>
      </c>
      <c r="O1714" t="n">
        <v>70</v>
      </c>
      <c r="P1714" t="n">
        <v>0.001247</v>
      </c>
      <c r="Q1714" t="n">
        <v>-70</v>
      </c>
      <c r="R1714" t="n">
        <v>0.05505</v>
      </c>
      <c r="S1714">
        <f>IMAGE("https://mitra.stanford.edu/kundaje/oak/projects/neuro-variants/variant_position/credible/roussos_2024/variant_figures/roussos_2024.childhood.Astrocyte/rs4309444_count_position.png",4,220,900)</f>
        <v/>
      </c>
      <c r="T1714">
        <f>IMAGE("https://mitra.stanford.edu/kundaje/oak/projects/neuro-variants/variant_position/credible/roussos_2024/variant_figures/roussos_2024.childhood.Astrocyte/rs4309444_profile_position.png",4,220,900)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-0.01043402408</v>
      </c>
      <c r="G1715" t="n">
        <v>0.7332268678904388</v>
      </c>
      <c r="H1715" t="n">
        <v>0.0308671945230309</v>
      </c>
      <c r="I1715" t="n">
        <v>0.0270001264967275</v>
      </c>
      <c r="J1715" t="n">
        <v>0.1040476899239006</v>
      </c>
      <c r="K1715" t="n">
        <v>0.3207175706492782</v>
      </c>
      <c r="L1715" t="b">
        <v>0</v>
      </c>
      <c r="M1715" t="b">
        <v>0</v>
      </c>
      <c r="N1715" t="inlineStr">
        <is>
          <t>ref</t>
        </is>
      </c>
      <c r="O1715" t="n">
        <v>-100</v>
      </c>
      <c r="P1715" t="n">
        <v>0.006683</v>
      </c>
      <c r="Q1715" t="n">
        <v>100</v>
      </c>
      <c r="R1715" t="n">
        <v>0.1829</v>
      </c>
      <c r="S1715">
        <f>IMAGE("https://mitra.stanford.edu/kundaje/oak/projects/neuro-variants/variant_position/credible/roussos_2024/variant_figures/roussos_2024.childhood.Astrocyte/rs78917479_count_position.png",4,220,900)</f>
        <v/>
      </c>
      <c r="T1715">
        <f>IMAGE("https://mitra.stanford.edu/kundaje/oak/projects/neuro-variants/variant_position/credible/roussos_2024/variant_figures/roussos_2024.childhood.Astrocyte/rs78917479_profile_position.png",4,220,900)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-0.02242845686</v>
      </c>
      <c r="G1716" t="n">
        <v>0.5021564359183874</v>
      </c>
      <c r="H1716" t="n">
        <v>0.009853833148961801</v>
      </c>
      <c r="I1716" t="n">
        <v>0.729093841852604</v>
      </c>
      <c r="J1716" t="n">
        <v>0.4899597749841618</v>
      </c>
      <c r="K1716" t="n">
        <v>0.057953092566774</v>
      </c>
      <c r="L1716" t="b">
        <v>0</v>
      </c>
      <c r="M1716" t="b">
        <v>0</v>
      </c>
      <c r="N1716" t="inlineStr">
        <is>
          <t>ref</t>
        </is>
      </c>
      <c r="O1716" t="n">
        <v>100</v>
      </c>
      <c r="P1716" t="n">
        <v>0.06809999999999999</v>
      </c>
      <c r="Q1716" t="n">
        <v>100</v>
      </c>
      <c r="R1716" t="n">
        <v>0.469</v>
      </c>
      <c r="S1716">
        <f>IMAGE("https://mitra.stanford.edu/kundaje/oak/projects/neuro-variants/variant_position/credible/roussos_2024/variant_figures/roussos_2024.childhood.Astrocyte/rs4335809_count_position.png",4,220,900)</f>
        <v/>
      </c>
      <c r="T1716">
        <f>IMAGE("https://mitra.stanford.edu/kundaje/oak/projects/neuro-variants/variant_position/credible/roussos_2024/variant_figures/roussos_2024.childhood.Astrocyte/rs4335809_profile_position.png",4,220,900)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-0.0805727089999999</v>
      </c>
      <c r="G1717" t="n">
        <v>0.104159756885629</v>
      </c>
      <c r="H1717" t="n">
        <v>0.013420121907979</v>
      </c>
      <c r="I1717" t="n">
        <v>0.3974664201900327</v>
      </c>
      <c r="J1717" t="n">
        <v>0.5954195385190783</v>
      </c>
      <c r="K1717" t="n">
        <v>0.0340621098790974</v>
      </c>
      <c r="L1717" t="b">
        <v>0</v>
      </c>
      <c r="M1717" t="b">
        <v>0</v>
      </c>
      <c r="N1717" t="inlineStr">
        <is>
          <t>ref</t>
        </is>
      </c>
      <c r="O1717" t="n">
        <v>-85</v>
      </c>
      <c r="P1717" t="n">
        <v>0.04803</v>
      </c>
      <c r="Q1717" t="n">
        <v>-100</v>
      </c>
      <c r="R1717" t="n">
        <v>0.3628</v>
      </c>
      <c r="S1717">
        <f>IMAGE("https://mitra.stanford.edu/kundaje/oak/projects/neuro-variants/variant_position/credible/roussos_2024/variant_figures/roussos_2024.childhood.Astrocyte/rs4523962_count_position.png",4,220,900)</f>
        <v/>
      </c>
      <c r="T1717">
        <f>IMAGE("https://mitra.stanford.edu/kundaje/oak/projects/neuro-variants/variant_position/credible/roussos_2024/variant_figures/roussos_2024.childhood.Astrocyte/rs4523962_profile_position.png",4,220,900)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-0.0211625094</v>
      </c>
      <c r="G1718" t="n">
        <v>0.4350099715331968</v>
      </c>
      <c r="H1718" t="n">
        <v>0.0109989488460291</v>
      </c>
      <c r="I1718" t="n">
        <v>0.6126013500853515</v>
      </c>
      <c r="J1718" t="n">
        <v>0.6032477693053361</v>
      </c>
      <c r="K1718" t="n">
        <v>0.0326917524768547</v>
      </c>
      <c r="L1718" t="b">
        <v>0</v>
      </c>
      <c r="M1718" t="b">
        <v>0</v>
      </c>
      <c r="N1718" t="inlineStr">
        <is>
          <t>ref</t>
        </is>
      </c>
      <c r="O1718" t="n">
        <v>-100</v>
      </c>
      <c r="P1718" t="n">
        <v>0.00662</v>
      </c>
      <c r="Q1718" t="n">
        <v>-100</v>
      </c>
      <c r="R1718" t="n">
        <v>0.03506</v>
      </c>
      <c r="S1718">
        <f>IMAGE("https://mitra.stanford.edu/kundaje/oak/projects/neuro-variants/variant_position/credible/roussos_2024/variant_figures/roussos_2024.childhood.Astrocyte/rs3885074_count_position.png",4,220,900)</f>
        <v/>
      </c>
      <c r="T1718">
        <f>IMAGE("https://mitra.stanford.edu/kundaje/oak/projects/neuro-variants/variant_position/credible/roussos_2024/variant_figures/roussos_2024.childhood.Astrocyte/rs3885074_profile_position.png",4,220,900)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-0.1338401152</v>
      </c>
      <c r="G1719" t="n">
        <v>0.0417476612741123</v>
      </c>
      <c r="H1719" t="n">
        <v>0.0193705348993689</v>
      </c>
      <c r="I1719" t="n">
        <v>0.1418727944785743</v>
      </c>
      <c r="J1719" t="n">
        <v>0.532609741018067</v>
      </c>
      <c r="K1719" t="n">
        <v>0.0474491473229334</v>
      </c>
      <c r="L1719" t="b">
        <v>0</v>
      </c>
      <c r="M1719" t="b">
        <v>0</v>
      </c>
      <c r="N1719" t="inlineStr">
        <is>
          <t>ref</t>
        </is>
      </c>
      <c r="O1719" t="n">
        <v>5</v>
      </c>
      <c r="P1719" t="n">
        <v>0.000778</v>
      </c>
      <c r="Q1719" t="n">
        <v>0</v>
      </c>
      <c r="R1719" t="n">
        <v>0</v>
      </c>
      <c r="S1719">
        <f>IMAGE("https://mitra.stanford.edu/kundaje/oak/projects/neuro-variants/variant_position/credible/roussos_2024/variant_figures/roussos_2024.childhood.Astrocyte/rs62057147_count_position.png",4,220,900)</f>
        <v/>
      </c>
      <c r="T1719">
        <f>IMAGE("https://mitra.stanford.edu/kundaje/oak/projects/neuro-variants/variant_position/credible/roussos_2024/variant_figures/roussos_2024.childhood.Astrocyte/rs62057147_profile_position.png",4,220,900)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-0.0846388552</v>
      </c>
      <c r="G1720" t="n">
        <v>0.1011039688902863</v>
      </c>
      <c r="H1720" t="n">
        <v>0.0142725997679408</v>
      </c>
      <c r="I1720" t="n">
        <v>0.3406542948043328</v>
      </c>
      <c r="J1720" t="n">
        <v>0.5206116950226313</v>
      </c>
      <c r="K1720" t="n">
        <v>0.0503594798877682</v>
      </c>
      <c r="L1720" t="b">
        <v>0</v>
      </c>
      <c r="M1720" t="b">
        <v>0</v>
      </c>
      <c r="N1720" t="inlineStr">
        <is>
          <t>ref</t>
        </is>
      </c>
      <c r="O1720" t="n">
        <v>-60</v>
      </c>
      <c r="P1720" t="n">
        <v>0.00403</v>
      </c>
      <c r="Q1720" t="n">
        <v>-35</v>
      </c>
      <c r="R1720" t="n">
        <v>0.09520000000000001</v>
      </c>
      <c r="S1720">
        <f>IMAGE("https://mitra.stanford.edu/kundaje/oak/projects/neuro-variants/variant_position/credible/roussos_2024/variant_figures/roussos_2024.childhood.Astrocyte/rs17763050_count_position.png",4,220,900)</f>
        <v/>
      </c>
      <c r="T1720">
        <f>IMAGE("https://mitra.stanford.edu/kundaje/oak/projects/neuro-variants/variant_position/credible/roussos_2024/variant_figures/roussos_2024.childhood.Astrocyte/rs17763050_profile_position.png",4,220,900)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-0.089057734</v>
      </c>
      <c r="G1721" t="n">
        <v>0.0880902296567751</v>
      </c>
      <c r="H1721" t="n">
        <v>0.0128055592571799</v>
      </c>
      <c r="I1721" t="n">
        <v>0.445770169490948</v>
      </c>
      <c r="J1721" t="n">
        <v>0.4717844794028074</v>
      </c>
      <c r="K1721" t="n">
        <v>0.0633087119078152</v>
      </c>
      <c r="L1721" t="b">
        <v>0</v>
      </c>
      <c r="M1721" t="b">
        <v>0</v>
      </c>
      <c r="N1721" t="inlineStr">
        <is>
          <t>ref</t>
        </is>
      </c>
      <c r="O1721" t="n">
        <v>-100</v>
      </c>
      <c r="P1721" t="n">
        <v>0.0363</v>
      </c>
      <c r="Q1721" t="n">
        <v>-100</v>
      </c>
      <c r="R1721" t="n">
        <v>0.5137</v>
      </c>
      <c r="S1721">
        <f>IMAGE("https://mitra.stanford.edu/kundaje/oak/projects/neuro-variants/variant_position/credible/roussos_2024/variant_figures/roussos_2024.childhood.Astrocyte/rs62057150_count_position.png",4,220,900)</f>
        <v/>
      </c>
      <c r="T1721">
        <f>IMAGE("https://mitra.stanford.edu/kundaje/oak/projects/neuro-variants/variant_position/credible/roussos_2024/variant_figures/roussos_2024.childhood.Astrocyte/rs62057150_profile_position.png",4,220,900)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-0.03810016046</v>
      </c>
      <c r="G1722" t="n">
        <v>0.2267931423073577</v>
      </c>
      <c r="H1722" t="n">
        <v>0.0123358735901411</v>
      </c>
      <c r="I1722" t="n">
        <v>0.4715668348346358</v>
      </c>
      <c r="J1722" t="n">
        <v>0.4119736209383801</v>
      </c>
      <c r="K1722" t="n">
        <v>0.0824130133424708</v>
      </c>
      <c r="L1722" t="b">
        <v>0</v>
      </c>
      <c r="M1722" t="b">
        <v>0</v>
      </c>
      <c r="N1722" t="inlineStr">
        <is>
          <t>ref</t>
        </is>
      </c>
      <c r="O1722" t="n">
        <v>-100</v>
      </c>
      <c r="P1722" t="n">
        <v>0.004406</v>
      </c>
      <c r="Q1722" t="n">
        <v>100</v>
      </c>
      <c r="R1722" t="n">
        <v>0.0969</v>
      </c>
      <c r="S1722">
        <f>IMAGE("https://mitra.stanford.edu/kundaje/oak/projects/neuro-variants/variant_position/credible/roussos_2024/variant_figures/roussos_2024.childhood.Astrocyte/rs62057151_count_position.png",4,220,900)</f>
        <v/>
      </c>
      <c r="T1722">
        <f>IMAGE("https://mitra.stanford.edu/kundaje/oak/projects/neuro-variants/variant_position/credible/roussos_2024/variant_figures/roussos_2024.childhood.Astrocyte/rs62057151_profile_position.png",4,220,900)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-0.0122889905999999</v>
      </c>
      <c r="G1723" t="n">
        <v>0.573629277171415</v>
      </c>
      <c r="H1723" t="n">
        <v>0.008533414186953201</v>
      </c>
      <c r="I1723" t="n">
        <v>0.8578190771831705</v>
      </c>
      <c r="J1723" t="n">
        <v>0.30827169822842</v>
      </c>
      <c r="K1723" t="n">
        <v>0.1278336241161792</v>
      </c>
      <c r="L1723" t="b">
        <v>0</v>
      </c>
      <c r="M1723" t="b">
        <v>0</v>
      </c>
      <c r="N1723" t="inlineStr">
        <is>
          <t>ref</t>
        </is>
      </c>
      <c r="O1723" t="n">
        <v>-75</v>
      </c>
      <c r="P1723" t="n">
        <v>0.01636</v>
      </c>
      <c r="Q1723" t="n">
        <v>35</v>
      </c>
      <c r="R1723" t="n">
        <v>0.1045</v>
      </c>
      <c r="S1723">
        <f>IMAGE("https://mitra.stanford.edu/kundaje/oak/projects/neuro-variants/variant_position/credible/roussos_2024/variant_figures/roussos_2024.childhood.Astrocyte/rs62057153_count_position.png",4,220,900)</f>
        <v/>
      </c>
      <c r="T1723">
        <f>IMAGE("https://mitra.stanford.edu/kundaje/oak/projects/neuro-variants/variant_position/credible/roussos_2024/variant_figures/roussos_2024.childhood.Astrocyte/rs62057153_profile_position.png",4,220,900)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0.00910731012</v>
      </c>
      <c r="G1724" t="n">
        <v>0.6082783807307394</v>
      </c>
      <c r="H1724" t="n">
        <v>0.0120826593054147</v>
      </c>
      <c r="I1724" t="n">
        <v>0.4936343288913429</v>
      </c>
      <c r="J1724" t="n">
        <v>0.2990382633784433</v>
      </c>
      <c r="K1724" t="n">
        <v>0.133215208404869</v>
      </c>
      <c r="L1724" t="b">
        <v>0</v>
      </c>
      <c r="M1724" t="b">
        <v>0</v>
      </c>
      <c r="N1724" t="inlineStr">
        <is>
          <t>alt</t>
        </is>
      </c>
      <c r="O1724" t="n">
        <v>15</v>
      </c>
      <c r="P1724" t="n">
        <v>0.001497</v>
      </c>
      <c r="Q1724" t="n">
        <v>-95</v>
      </c>
      <c r="R1724" t="n">
        <v>0.1838</v>
      </c>
      <c r="S1724">
        <f>IMAGE("https://mitra.stanford.edu/kundaje/oak/projects/neuro-variants/variant_position/credible/roussos_2024/variant_figures/roussos_2024.childhood.Astrocyte/rs62057155_count_position.png",4,220,900)</f>
        <v/>
      </c>
      <c r="T1724">
        <f>IMAGE("https://mitra.stanford.edu/kundaje/oak/projects/neuro-variants/variant_position/credible/roussos_2024/variant_figures/roussos_2024.childhood.Astrocyte/rs62057155_profile_position.png",4,220,900)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-0.00185904086</v>
      </c>
      <c r="G1725" t="n">
        <v>0.7023828446506104</v>
      </c>
      <c r="H1725" t="n">
        <v>0.0092131686106483</v>
      </c>
      <c r="I1725" t="n">
        <v>0.7732914397739342</v>
      </c>
      <c r="J1725" t="n">
        <v>0.2159068184073335</v>
      </c>
      <c r="K1725" t="n">
        <v>0.1901899305227951</v>
      </c>
      <c r="L1725" t="b">
        <v>0</v>
      </c>
      <c r="M1725" t="b">
        <v>0</v>
      </c>
      <c r="N1725" t="inlineStr">
        <is>
          <t>ref</t>
        </is>
      </c>
      <c r="O1725" t="n">
        <v>75</v>
      </c>
      <c r="P1725" t="n">
        <v>0.007313</v>
      </c>
      <c r="Q1725" t="n">
        <v>75</v>
      </c>
      <c r="R1725" t="n">
        <v>0.1892</v>
      </c>
      <c r="S1725">
        <f>IMAGE("https://mitra.stanford.edu/kundaje/oak/projects/neuro-variants/variant_position/credible/roussos_2024/variant_figures/roussos_2024.childhood.Astrocyte/rs1876829_count_position.png",4,220,900)</f>
        <v/>
      </c>
      <c r="T1725">
        <f>IMAGE("https://mitra.stanford.edu/kundaje/oak/projects/neuro-variants/variant_position/credible/roussos_2024/variant_figures/roussos_2024.childhood.Astrocyte/rs1876829_profile_position.png",4,220,900)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-0.06360613</v>
      </c>
      <c r="G1726" t="n">
        <v>0.1536795397879468</v>
      </c>
      <c r="H1726" t="n">
        <v>0.014802764785193</v>
      </c>
      <c r="I1726" t="n">
        <v>0.3060513108166804</v>
      </c>
      <c r="J1726" t="n">
        <v>0.1528542969018341</v>
      </c>
      <c r="K1726" t="n">
        <v>0.2511661948090996</v>
      </c>
      <c r="L1726" t="b">
        <v>0</v>
      </c>
      <c r="M1726" t="b">
        <v>0</v>
      </c>
      <c r="N1726" t="inlineStr">
        <is>
          <t>ref</t>
        </is>
      </c>
      <c r="O1726" t="n">
        <v>-100</v>
      </c>
      <c r="P1726" t="n">
        <v>0.002033</v>
      </c>
      <c r="Q1726" t="n">
        <v>-100</v>
      </c>
      <c r="R1726" t="n">
        <v>0.07263</v>
      </c>
      <c r="S1726">
        <f>IMAGE("https://mitra.stanford.edu/kundaje/oak/projects/neuro-variants/variant_position/credible/roussos_2024/variant_figures/roussos_2024.childhood.Astrocyte/rs878887_count_position.png",4,220,900)</f>
        <v/>
      </c>
      <c r="T1726">
        <f>IMAGE("https://mitra.stanford.edu/kundaje/oak/projects/neuro-variants/variant_position/credible/roussos_2024/variant_figures/roussos_2024.childhood.Astrocyte/rs878887_profile_position.png",4,220,900)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0.0491880304</v>
      </c>
      <c r="G1727" t="n">
        <v>0.2000958131273742</v>
      </c>
      <c r="H1727" t="n">
        <v>0.0202744285682072</v>
      </c>
      <c r="I1727" t="n">
        <v>0.1200585407206529</v>
      </c>
      <c r="J1727" t="n">
        <v>0.2275110103577507</v>
      </c>
      <c r="K1727" t="n">
        <v>0.1793243251577907</v>
      </c>
      <c r="L1727" t="b">
        <v>0</v>
      </c>
      <c r="M1727" t="b">
        <v>0</v>
      </c>
      <c r="N1727" t="inlineStr">
        <is>
          <t>alt</t>
        </is>
      </c>
      <c r="O1727" t="n">
        <v>75</v>
      </c>
      <c r="P1727" t="n">
        <v>0.002188</v>
      </c>
      <c r="Q1727" t="n">
        <v>75</v>
      </c>
      <c r="R1727" t="n">
        <v>0.0687</v>
      </c>
      <c r="S1727">
        <f>IMAGE("https://mitra.stanford.edu/kundaje/oak/projects/neuro-variants/variant_position/credible/roussos_2024/variant_figures/roussos_2024.childhood.Astrocyte/rs75104593_count_position.png",4,220,900)</f>
        <v/>
      </c>
      <c r="T1727">
        <f>IMAGE("https://mitra.stanford.edu/kundaje/oak/projects/neuro-variants/variant_position/credible/roussos_2024/variant_figures/roussos_2024.childhood.Astrocyte/rs75104593_profile_position.png",4,220,900)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-0.1055966636</v>
      </c>
      <c r="G1728" t="n">
        <v>0.0703938048946227</v>
      </c>
      <c r="H1728" t="n">
        <v>0.0323883286849669</v>
      </c>
      <c r="I1728" t="n">
        <v>0.0220432725755792</v>
      </c>
      <c r="J1728" t="n">
        <v>0.2105997114790135</v>
      </c>
      <c r="K1728" t="n">
        <v>0.1939183992719512</v>
      </c>
      <c r="L1728" t="b">
        <v>0</v>
      </c>
      <c r="M1728" t="b">
        <v>0</v>
      </c>
      <c r="N1728" t="inlineStr">
        <is>
          <t>ref</t>
        </is>
      </c>
      <c r="O1728" t="n">
        <v>85</v>
      </c>
      <c r="P1728" t="n">
        <v>0.00147</v>
      </c>
      <c r="Q1728" t="n">
        <v>75</v>
      </c>
      <c r="R1728" t="n">
        <v>0.0907</v>
      </c>
      <c r="S1728">
        <f>IMAGE("https://mitra.stanford.edu/kundaje/oak/projects/neuro-variants/variant_position/credible/roussos_2024/variant_figures/roussos_2024.childhood.Astrocyte/rs74998289_count_position.png",4,220,900)</f>
        <v/>
      </c>
      <c r="T1728">
        <f>IMAGE("https://mitra.stanford.edu/kundaje/oak/projects/neuro-variants/variant_position/credible/roussos_2024/variant_figures/roussos_2024.childhood.Astrocyte/rs74998289_profile_position.png",4,220,900)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-0.0582631339999999</v>
      </c>
      <c r="G1729" t="n">
        <v>0.191309464047424</v>
      </c>
      <c r="H1729" t="n">
        <v>0.0135400089716394</v>
      </c>
      <c r="I1729" t="n">
        <v>0.3857578943089776</v>
      </c>
      <c r="J1729" t="n">
        <v>0.1888209566989535</v>
      </c>
      <c r="K1729" t="n">
        <v>0.2154269256038217</v>
      </c>
      <c r="L1729" t="b">
        <v>0</v>
      </c>
      <c r="M1729" t="b">
        <v>0</v>
      </c>
      <c r="N1729" t="inlineStr">
        <is>
          <t>ref</t>
        </is>
      </c>
      <c r="O1729" t="n">
        <v>-50</v>
      </c>
      <c r="P1729" t="n">
        <v>0.00372</v>
      </c>
      <c r="Q1729" t="n">
        <v>75</v>
      </c>
      <c r="R1729" t="n">
        <v>0.098</v>
      </c>
      <c r="S1729">
        <f>IMAGE("https://mitra.stanford.edu/kundaje/oak/projects/neuro-variants/variant_position/credible/roussos_2024/variant_figures/roussos_2024.childhood.Astrocyte/rs62054804_count_position.png",4,220,900)</f>
        <v/>
      </c>
      <c r="T1729">
        <f>IMAGE("https://mitra.stanford.edu/kundaje/oak/projects/neuro-variants/variant_position/credible/roussos_2024/variant_figures/roussos_2024.childhood.Astrocyte/rs62054804_profile_position.png",4,220,900)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-0.0246974682</v>
      </c>
      <c r="G1730" t="n">
        <v>0.4583736871458206</v>
      </c>
      <c r="H1730" t="n">
        <v>0.0305480222822259</v>
      </c>
      <c r="I1730" t="n">
        <v>0.0275183837344759</v>
      </c>
      <c r="J1730" t="n">
        <v>0.0206063520414004</v>
      </c>
      <c r="K1730" t="n">
        <v>0.5882063225460861</v>
      </c>
      <c r="L1730" t="b">
        <v>0</v>
      </c>
      <c r="M1730" t="b">
        <v>0</v>
      </c>
      <c r="N1730" t="inlineStr">
        <is>
          <t>ref</t>
        </is>
      </c>
      <c r="O1730" t="n">
        <v>-100</v>
      </c>
      <c r="P1730" t="n">
        <v>0.02292</v>
      </c>
      <c r="Q1730" t="n">
        <v>85</v>
      </c>
      <c r="R1730" t="n">
        <v>0.1803</v>
      </c>
      <c r="S1730">
        <f>IMAGE("https://mitra.stanford.edu/kundaje/oak/projects/neuro-variants/variant_position/credible/roussos_2024/variant_figures/roussos_2024.childhood.Astrocyte/rs74922289_count_position.png",4,220,900)</f>
        <v/>
      </c>
      <c r="T1730">
        <f>IMAGE("https://mitra.stanford.edu/kundaje/oak/projects/neuro-variants/variant_position/credible/roussos_2024/variant_figures/roussos_2024.childhood.Astrocyte/rs74922289_profile_position.png",4,220,900)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0.084243664</v>
      </c>
      <c r="G1731" t="n">
        <v>0.1010811596132674</v>
      </c>
      <c r="H1731" t="n">
        <v>0.0161326135440178</v>
      </c>
      <c r="I1731" t="n">
        <v>0.2399827836762945</v>
      </c>
      <c r="J1731" t="n">
        <v>0.0273484310717256</v>
      </c>
      <c r="K1731" t="n">
        <v>0.5420214495718481</v>
      </c>
      <c r="L1731" t="b">
        <v>0</v>
      </c>
      <c r="M1731" t="b">
        <v>0</v>
      </c>
      <c r="N1731" t="inlineStr">
        <is>
          <t>alt</t>
        </is>
      </c>
      <c r="O1731" t="n">
        <v>-80</v>
      </c>
      <c r="P1731" t="n">
        <v>0.001514</v>
      </c>
      <c r="Q1731" t="n">
        <v>15</v>
      </c>
      <c r="R1731" t="n">
        <v>0.01892</v>
      </c>
      <c r="S1731">
        <f>IMAGE("https://mitra.stanford.edu/kundaje/oak/projects/neuro-variants/variant_position/credible/roussos_2024/variant_figures/roussos_2024.childhood.Astrocyte/rs56971664_count_position.png",4,220,900)</f>
        <v/>
      </c>
      <c r="T1731">
        <f>IMAGE("https://mitra.stanford.edu/kundaje/oak/projects/neuro-variants/variant_position/credible/roussos_2024/variant_figures/roussos_2024.childhood.Astrocyte/rs56971664_profile_position.png",4,220,900)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0.0328071083799999</v>
      </c>
      <c r="G1732" t="n">
        <v>0.162994211411578</v>
      </c>
      <c r="H1732" t="n">
        <v>0.0306292776123675</v>
      </c>
      <c r="I1732" t="n">
        <v>0.027784805188639</v>
      </c>
      <c r="J1732" t="n">
        <v>0.1291245906894735</v>
      </c>
      <c r="K1732" t="n">
        <v>0.2790716965163476</v>
      </c>
      <c r="L1732" t="b">
        <v>0</v>
      </c>
      <c r="M1732" t="b">
        <v>0</v>
      </c>
      <c r="N1732" t="inlineStr">
        <is>
          <t>alt</t>
        </is>
      </c>
      <c r="O1732" t="n">
        <v>35</v>
      </c>
      <c r="P1732" t="n">
        <v>0.00177</v>
      </c>
      <c r="Q1732" t="n">
        <v>-10</v>
      </c>
      <c r="R1732" t="n">
        <v>0.02734</v>
      </c>
      <c r="S1732">
        <f>IMAGE("https://mitra.stanford.edu/kundaje/oak/projects/neuro-variants/variant_position/credible/roussos_2024/variant_figures/roussos_2024.childhood.Astrocyte/rs17763596_count_position.png",4,220,900)</f>
        <v/>
      </c>
      <c r="T1732">
        <f>IMAGE("https://mitra.stanford.edu/kundaje/oak/projects/neuro-variants/variant_position/credible/roussos_2024/variant_figures/roussos_2024.childhood.Astrocyte/rs17763596_profile_position.png",4,220,900)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-0.0893321427999999</v>
      </c>
      <c r="G1733" t="n">
        <v>0.0898972476539633</v>
      </c>
      <c r="H1733" t="n">
        <v>0.0161128412951398</v>
      </c>
      <c r="I1733" t="n">
        <v>0.2480666535457733</v>
      </c>
      <c r="J1733" t="n">
        <v>0.171550151511682</v>
      </c>
      <c r="K1733" t="n">
        <v>0.2337572534608961</v>
      </c>
      <c r="L1733" t="b">
        <v>0</v>
      </c>
      <c r="M1733" t="b">
        <v>0</v>
      </c>
      <c r="N1733" t="inlineStr">
        <is>
          <t>ref</t>
        </is>
      </c>
      <c r="O1733" t="n">
        <v>100</v>
      </c>
      <c r="P1733" t="n">
        <v>0.0095</v>
      </c>
      <c r="Q1733" t="n">
        <v>-5</v>
      </c>
      <c r="R1733" t="n">
        <v>0.00238</v>
      </c>
      <c r="S1733">
        <f>IMAGE("https://mitra.stanford.edu/kundaje/oak/projects/neuro-variants/variant_position/credible/roussos_2024/variant_figures/roussos_2024.childhood.Astrocyte/rs62054815_count_position.png",4,220,900)</f>
        <v/>
      </c>
      <c r="T1733">
        <f>IMAGE("https://mitra.stanford.edu/kundaje/oak/projects/neuro-variants/variant_position/credible/roussos_2024/variant_figures/roussos_2024.childhood.Astrocyte/rs62054815_profile_position.png",4,220,900)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0.0308272467999999</v>
      </c>
      <c r="G1734" t="n">
        <v>0.3754482993441753</v>
      </c>
      <c r="H1734" t="n">
        <v>0.0129295286650272</v>
      </c>
      <c r="I1734" t="n">
        <v>0.4258103785618832</v>
      </c>
      <c r="J1734" t="n">
        <v>0.2809110546281667</v>
      </c>
      <c r="K1734" t="n">
        <v>0.1453189642529206</v>
      </c>
      <c r="L1734" t="b">
        <v>0</v>
      </c>
      <c r="M1734" t="b">
        <v>0</v>
      </c>
      <c r="N1734" t="inlineStr">
        <is>
          <t>alt</t>
        </is>
      </c>
      <c r="O1734" t="n">
        <v>95</v>
      </c>
      <c r="P1734" t="n">
        <v>0.0208</v>
      </c>
      <c r="Q1734" t="n">
        <v>50</v>
      </c>
      <c r="R1734" t="n">
        <v>0.1047</v>
      </c>
      <c r="S1734">
        <f>IMAGE("https://mitra.stanford.edu/kundaje/oak/projects/neuro-variants/variant_position/credible/roussos_2024/variant_figures/roussos_2024.childhood.Astrocyte/rs11079725_count_position.png",4,220,900)</f>
        <v/>
      </c>
      <c r="T1734">
        <f>IMAGE("https://mitra.stanford.edu/kundaje/oak/projects/neuro-variants/variant_position/credible/roussos_2024/variant_figures/roussos_2024.childhood.Astrocyte/rs11079725_profile_position.png",4,220,900)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0.236852224</v>
      </c>
      <c r="G1735" t="n">
        <v>0.0115974669579781</v>
      </c>
      <c r="H1735" t="n">
        <v>0.0201774326947313</v>
      </c>
      <c r="I1735" t="n">
        <v>0.1336800138779419</v>
      </c>
      <c r="J1735" t="n">
        <v>0.4205445261157289</v>
      </c>
      <c r="K1735" t="n">
        <v>0.0765701601870834</v>
      </c>
      <c r="L1735" t="b">
        <v>1</v>
      </c>
      <c r="M1735" t="b">
        <v>0</v>
      </c>
      <c r="N1735" t="inlineStr">
        <is>
          <t>alt</t>
        </is>
      </c>
      <c r="O1735" t="n">
        <v>-35</v>
      </c>
      <c r="P1735" t="n">
        <v>0.007706</v>
      </c>
      <c r="Q1735" t="n">
        <v>-50</v>
      </c>
      <c r="R1735" t="n">
        <v>0.1313</v>
      </c>
      <c r="S1735">
        <f>IMAGE("https://mitra.stanford.edu/kundaje/oak/projects/neuro-variants/variant_position/credible/roussos_2024/variant_figures/roussos_2024.childhood.Astrocyte/rs55943825_count_position.png",4,220,900)</f>
        <v/>
      </c>
      <c r="T1735">
        <f>IMAGE("https://mitra.stanford.edu/kundaje/oak/projects/neuro-variants/variant_position/credible/roussos_2024/variant_figures/roussos_2024.childhood.Astrocyte/rs55943825_profile_position.png",4,220,900)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0.1022602513999999</v>
      </c>
      <c r="G1736" t="n">
        <v>0.056025882355806</v>
      </c>
      <c r="H1736" t="n">
        <v>0.0444362322311958</v>
      </c>
      <c r="I1736" t="n">
        <v>0.013901269785141</v>
      </c>
      <c r="J1736" t="n">
        <v>0.6483074198743636</v>
      </c>
      <c r="K1736" t="n">
        <v>0.0257112976841953</v>
      </c>
      <c r="L1736" t="b">
        <v>1</v>
      </c>
      <c r="M1736" t="b">
        <v>0</v>
      </c>
      <c r="N1736" t="inlineStr">
        <is>
          <t>alt</t>
        </is>
      </c>
      <c r="O1736" t="n">
        <v>80</v>
      </c>
      <c r="P1736" t="n">
        <v>0.00903</v>
      </c>
      <c r="Q1736" t="n">
        <v>-100</v>
      </c>
      <c r="R1736" t="n">
        <v>0.1888</v>
      </c>
      <c r="S1736">
        <f>IMAGE("https://mitra.stanford.edu/kundaje/oak/projects/neuro-variants/variant_position/credible/roussos_2024/variant_figures/roussos_2024.childhood.Astrocyte/rs62054817_count_position.png",4,220,900)</f>
        <v/>
      </c>
      <c r="T1736">
        <f>IMAGE("https://mitra.stanford.edu/kundaje/oak/projects/neuro-variants/variant_position/credible/roussos_2024/variant_figures/roussos_2024.childhood.Astrocyte/rs62054817_profile_position.png",4,220,900)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0.02403426356</v>
      </c>
      <c r="G1737" t="n">
        <v>0.4796630679415286</v>
      </c>
      <c r="H1737" t="n">
        <v>0.0120128195095478</v>
      </c>
      <c r="I1737" t="n">
        <v>0.5147609125008478</v>
      </c>
      <c r="J1737" t="n">
        <v>0.4860510025722638</v>
      </c>
      <c r="K1737" t="n">
        <v>0.0597905167926653</v>
      </c>
      <c r="L1737" t="b">
        <v>0</v>
      </c>
      <c r="M1737" t="b">
        <v>0</v>
      </c>
      <c r="N1737" t="inlineStr">
        <is>
          <t>alt</t>
        </is>
      </c>
      <c r="O1737" t="n">
        <v>100</v>
      </c>
      <c r="P1737" t="n">
        <v>0.04572</v>
      </c>
      <c r="Q1737" t="n">
        <v>100</v>
      </c>
      <c r="R1737" t="n">
        <v>0.1252</v>
      </c>
      <c r="S1737">
        <f>IMAGE("https://mitra.stanford.edu/kundaje/oak/projects/neuro-variants/variant_position/credible/roussos_2024/variant_figures/roussos_2024.childhood.Astrocyte/rs62054824_count_position.png",4,220,900)</f>
        <v/>
      </c>
      <c r="T1737">
        <f>IMAGE("https://mitra.stanford.edu/kundaje/oak/projects/neuro-variants/variant_position/credible/roussos_2024/variant_figures/roussos_2024.childhood.Astrocyte/rs62054824_profile_position.png",4,220,900)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-0.113636156</v>
      </c>
      <c r="G1738" t="n">
        <v>0.06576825965617671</v>
      </c>
      <c r="H1738" t="n">
        <v>0.0235926058199096</v>
      </c>
      <c r="I1738" t="n">
        <v>0.074168227478405</v>
      </c>
      <c r="J1738" t="n">
        <v>0.4856380664514207</v>
      </c>
      <c r="K1738" t="n">
        <v>0.0598619475062548</v>
      </c>
      <c r="L1738" t="b">
        <v>0</v>
      </c>
      <c r="M1738" t="b">
        <v>0</v>
      </c>
      <c r="N1738" t="inlineStr">
        <is>
          <t>ref</t>
        </is>
      </c>
      <c r="O1738" t="n">
        <v>95</v>
      </c>
      <c r="P1738" t="n">
        <v>0.374</v>
      </c>
      <c r="Q1738" t="n">
        <v>95</v>
      </c>
      <c r="R1738" t="n">
        <v>0.9385</v>
      </c>
      <c r="S1738">
        <f>IMAGE("https://mitra.stanford.edu/kundaje/oak/projects/neuro-variants/variant_position/credible/roussos_2024/variant_figures/roussos_2024.childhood.Astrocyte/rs62054825_count_position.png",4,220,900)</f>
        <v/>
      </c>
      <c r="T1738">
        <f>IMAGE("https://mitra.stanford.edu/kundaje/oak/projects/neuro-variants/variant_position/credible/roussos_2024/variant_figures/roussos_2024.childhood.Astrocyte/rs62054825_profile_position.png",4,220,900)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0.269026732</v>
      </c>
      <c r="G1739" t="n">
        <v>0.0086665781629107</v>
      </c>
      <c r="H1739" t="n">
        <v>0.0323418749053744</v>
      </c>
      <c r="I1739" t="n">
        <v>0.0234905353780809</v>
      </c>
      <c r="J1739" t="n">
        <v>0.1559593322800027</v>
      </c>
      <c r="K1739" t="n">
        <v>0.2526318808923414</v>
      </c>
      <c r="L1739" t="b">
        <v>1</v>
      </c>
      <c r="M1739" t="b">
        <v>1</v>
      </c>
      <c r="N1739" t="inlineStr">
        <is>
          <t>alt</t>
        </is>
      </c>
      <c r="O1739" t="n">
        <v>-55</v>
      </c>
      <c r="P1739" t="n">
        <v>0.00131</v>
      </c>
      <c r="Q1739" t="n">
        <v>-25</v>
      </c>
      <c r="R1739" t="n">
        <v>0.0752</v>
      </c>
      <c r="S1739">
        <f>IMAGE("https://mitra.stanford.edu/kundaje/oak/projects/neuro-variants/variant_position/credible/roussos_2024/variant_figures/roussos_2024.childhood.Astrocyte/rs56026128_count_position.png",4,220,900)</f>
        <v/>
      </c>
      <c r="T1739">
        <f>IMAGE("https://mitra.stanford.edu/kundaje/oak/projects/neuro-variants/variant_position/credible/roussos_2024/variant_figures/roussos_2024.childhood.Astrocyte/rs56026128_profile_position.png",4,220,900)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0.1131458358</v>
      </c>
      <c r="G1740" t="n">
        <v>0.0835645412887831</v>
      </c>
      <c r="H1740" t="n">
        <v>0.0225554077091811</v>
      </c>
      <c r="I1740" t="n">
        <v>0.0898845757231007</v>
      </c>
      <c r="J1740" t="n">
        <v>0.1194255531893781</v>
      </c>
      <c r="K1740" t="n">
        <v>0.3059553512059026</v>
      </c>
      <c r="L1740" t="b">
        <v>0</v>
      </c>
      <c r="M1740" t="b">
        <v>0</v>
      </c>
      <c r="N1740" t="inlineStr">
        <is>
          <t>alt</t>
        </is>
      </c>
      <c r="O1740" t="n">
        <v>60</v>
      </c>
      <c r="P1740" t="n">
        <v>0.002886</v>
      </c>
      <c r="Q1740" t="n">
        <v>-25</v>
      </c>
      <c r="R1740" t="n">
        <v>0.10583</v>
      </c>
      <c r="S1740">
        <f>IMAGE("https://mitra.stanford.edu/kundaje/oak/projects/neuro-variants/variant_position/credible/roussos_2024/variant_figures/roussos_2024.childhood.Astrocyte/rs56329743_count_position.png",4,220,900)</f>
        <v/>
      </c>
      <c r="T1740">
        <f>IMAGE("https://mitra.stanford.edu/kundaje/oak/projects/neuro-variants/variant_position/credible/roussos_2024/variant_figures/roussos_2024.childhood.Astrocyte/rs56329743_profile_position.png",4,220,900)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0.530017832</v>
      </c>
      <c r="G1741" t="n">
        <v>0.0009087575889275</v>
      </c>
      <c r="H1741" t="n">
        <v>0.039697992768996</v>
      </c>
      <c r="I1741" t="n">
        <v>0.010222685022296</v>
      </c>
      <c r="J1741" t="n">
        <v>0.0615343515528993</v>
      </c>
      <c r="K1741" t="n">
        <v>0.4381898754963293</v>
      </c>
      <c r="L1741" t="b">
        <v>1</v>
      </c>
      <c r="M1741" t="b">
        <v>1</v>
      </c>
      <c r="N1741" t="inlineStr">
        <is>
          <t>alt</t>
        </is>
      </c>
      <c r="O1741" t="n">
        <v>25</v>
      </c>
      <c r="P1741" t="n">
        <v>0.002104</v>
      </c>
      <c r="Q1741" t="n">
        <v>-100</v>
      </c>
      <c r="R1741" t="n">
        <v>0.1332</v>
      </c>
      <c r="S1741">
        <f>IMAGE("https://mitra.stanford.edu/kundaje/oak/projects/neuro-variants/variant_position/credible/roussos_2024/variant_figures/roussos_2024.childhood.Astrocyte/rs62054844_count_position.png",4,220,900)</f>
        <v/>
      </c>
      <c r="T1741">
        <f>IMAGE("https://mitra.stanford.edu/kundaje/oak/projects/neuro-variants/variant_position/credible/roussos_2024/variant_figures/roussos_2024.childhood.Astrocyte/rs62054844_profile_position.png",4,220,900)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-0.09931000279999989</v>
      </c>
      <c r="G1742" t="n">
        <v>0.07136485546019759</v>
      </c>
      <c r="H1742" t="n">
        <v>0.0233691751451841</v>
      </c>
      <c r="I1742" t="n">
        <v>0.0744217353027138</v>
      </c>
      <c r="J1742" t="n">
        <v>0.0063123506827566</v>
      </c>
      <c r="K1742" t="n">
        <v>0.7708109237894383</v>
      </c>
      <c r="L1742" t="b">
        <v>0</v>
      </c>
      <c r="M1742" t="b">
        <v>0</v>
      </c>
      <c r="N1742" t="inlineStr">
        <is>
          <t>ref</t>
        </is>
      </c>
      <c r="O1742" t="n">
        <v>-90</v>
      </c>
      <c r="P1742" t="n">
        <v>0.00825</v>
      </c>
      <c r="Q1742" t="n">
        <v>-85</v>
      </c>
      <c r="R1742" t="n">
        <v>0.1115</v>
      </c>
      <c r="S1742">
        <f>IMAGE("https://mitra.stanford.edu/kundaje/oak/projects/neuro-variants/variant_position/credible/roussos_2024/variant_figures/roussos_2024.childhood.Astrocyte/rs76627340_count_position.png",4,220,900)</f>
        <v/>
      </c>
      <c r="T1742">
        <f>IMAGE("https://mitra.stanford.edu/kundaje/oak/projects/neuro-variants/variant_position/credible/roussos_2024/variant_figures/roussos_2024.childhood.Astrocyte/rs76627340_profile_position.png",4,220,900)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-0.2171214759999999</v>
      </c>
      <c r="G1743" t="n">
        <v>0.0155317847648404</v>
      </c>
      <c r="H1743" t="n">
        <v>0.0261433406368484</v>
      </c>
      <c r="I1743" t="n">
        <v>0.051750301510628</v>
      </c>
      <c r="J1743" t="n">
        <v>0.5257821742880477</v>
      </c>
      <c r="K1743" t="n">
        <v>0.0471498298053643</v>
      </c>
      <c r="L1743" t="b">
        <v>1</v>
      </c>
      <c r="M1743" t="b">
        <v>0</v>
      </c>
      <c r="N1743" t="inlineStr">
        <is>
          <t>ref</t>
        </is>
      </c>
      <c r="O1743" t="n">
        <v>-30</v>
      </c>
      <c r="P1743" t="n">
        <v>0.00705</v>
      </c>
      <c r="Q1743" t="n">
        <v>-55</v>
      </c>
      <c r="R1743" t="n">
        <v>0.2559</v>
      </c>
      <c r="S1743">
        <f>IMAGE("https://mitra.stanford.edu/kundaje/oak/projects/neuro-variants/variant_position/credible/roussos_2024/variant_figures/roussos_2024.childhood.Astrocyte/rs62054846_count_position.png",4,220,900)</f>
        <v/>
      </c>
      <c r="T1743">
        <f>IMAGE("https://mitra.stanford.edu/kundaje/oak/projects/neuro-variants/variant_position/credible/roussos_2024/variant_figures/roussos_2024.childhood.Astrocyte/rs62054846_profile_position.png",4,220,900)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0.1105961564</v>
      </c>
      <c r="G1744" t="n">
        <v>0.0775003466286934</v>
      </c>
      <c r="H1744" t="n">
        <v>0.0174802907940847</v>
      </c>
      <c r="I1744" t="n">
        <v>0.2001885849389216</v>
      </c>
      <c r="J1744" t="n">
        <v>0.2267500171738682</v>
      </c>
      <c r="K1744" t="n">
        <v>0.1932744698317546</v>
      </c>
      <c r="L1744" t="b">
        <v>0</v>
      </c>
      <c r="M1744" t="b">
        <v>0</v>
      </c>
      <c r="N1744" t="inlineStr">
        <is>
          <t>alt</t>
        </is>
      </c>
      <c r="O1744" t="n">
        <v>-90</v>
      </c>
      <c r="P1744" t="n">
        <v>0.00937</v>
      </c>
      <c r="Q1744" t="n">
        <v>-100</v>
      </c>
      <c r="R1744" t="n">
        <v>0.3237</v>
      </c>
      <c r="S1744">
        <f>IMAGE("https://mitra.stanford.edu/kundaje/oak/projects/neuro-variants/variant_position/credible/roussos_2024/variant_figures/roussos_2024.childhood.Astrocyte/rs56227067_count_position.png",4,220,900)</f>
        <v/>
      </c>
      <c r="T1744">
        <f>IMAGE("https://mitra.stanford.edu/kundaje/oak/projects/neuro-variants/variant_position/credible/roussos_2024/variant_figures/roussos_2024.childhood.Astrocyte/rs56227067_profile_position.png",4,220,900)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-0.187480439</v>
      </c>
      <c r="G1745" t="n">
        <v>0.0219670648313307</v>
      </c>
      <c r="H1745" t="n">
        <v>0.0198678624842585</v>
      </c>
      <c r="I1745" t="n">
        <v>0.1287236681886536</v>
      </c>
      <c r="J1745" t="n">
        <v>0.1677390793280056</v>
      </c>
      <c r="K1745" t="n">
        <v>0.2518288263906672</v>
      </c>
      <c r="L1745" t="b">
        <v>0</v>
      </c>
      <c r="M1745" t="b">
        <v>0</v>
      </c>
      <c r="N1745" t="inlineStr">
        <is>
          <t>ref</t>
        </is>
      </c>
      <c r="O1745" t="n">
        <v>-50</v>
      </c>
      <c r="P1745" t="n">
        <v>0.008026</v>
      </c>
      <c r="Q1745" t="n">
        <v>-95</v>
      </c>
      <c r="R1745" t="n">
        <v>0.482</v>
      </c>
      <c r="S1745">
        <f>IMAGE("https://mitra.stanford.edu/kundaje/oak/projects/neuro-variants/variant_position/credible/roussos_2024/variant_figures/roussos_2024.childhood.Astrocyte/rs55719714_count_position.png",4,220,900)</f>
        <v/>
      </c>
      <c r="T1745">
        <f>IMAGE("https://mitra.stanford.edu/kundaje/oak/projects/neuro-variants/variant_position/credible/roussos_2024/variant_figures/roussos_2024.childhood.Astrocyte/rs55719714_profile_position.png",4,220,900)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0.02612151234</v>
      </c>
      <c r="G1746" t="n">
        <v>0.4186959260465588</v>
      </c>
      <c r="H1746" t="n">
        <v>0.011795608430485</v>
      </c>
      <c r="I1746" t="n">
        <v>0.5354467248491385</v>
      </c>
      <c r="J1746" t="n">
        <v>0.0267385679283734</v>
      </c>
      <c r="K1746" t="n">
        <v>0.5474072798285992</v>
      </c>
      <c r="L1746" t="b">
        <v>0</v>
      </c>
      <c r="M1746" t="b">
        <v>0</v>
      </c>
      <c r="N1746" t="inlineStr">
        <is>
          <t>alt</t>
        </is>
      </c>
      <c r="O1746" t="n">
        <v>-15</v>
      </c>
      <c r="P1746" t="n">
        <v>0.002663</v>
      </c>
      <c r="Q1746" t="n">
        <v>60</v>
      </c>
      <c r="R1746" t="n">
        <v>0.0737</v>
      </c>
      <c r="S1746">
        <f>IMAGE("https://mitra.stanford.edu/kundaje/oak/projects/neuro-variants/variant_position/credible/roussos_2024/variant_figures/roussos_2024.childhood.Astrocyte/rs62054859_count_position.png",4,220,900)</f>
        <v/>
      </c>
      <c r="T1746">
        <f>IMAGE("https://mitra.stanford.edu/kundaje/oak/projects/neuro-variants/variant_position/credible/roussos_2024/variant_figures/roussos_2024.childhood.Astrocyte/rs62054859_profile_position.png",4,220,900)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0.177942044</v>
      </c>
      <c r="G1747" t="n">
        <v>0.0254652307408344</v>
      </c>
      <c r="H1747" t="n">
        <v>0.0371544853752918</v>
      </c>
      <c r="I1747" t="n">
        <v>0.0135986372790169</v>
      </c>
      <c r="J1747" t="n">
        <v>0.2229152832161693</v>
      </c>
      <c r="K1747" t="n">
        <v>0.1830089973610559</v>
      </c>
      <c r="L1747" t="b">
        <v>1</v>
      </c>
      <c r="M1747" t="b">
        <v>0</v>
      </c>
      <c r="N1747" t="inlineStr">
        <is>
          <t>alt</t>
        </is>
      </c>
      <c r="O1747" t="n">
        <v>-55</v>
      </c>
      <c r="P1747" t="n">
        <v>0.00235</v>
      </c>
      <c r="Q1747" t="n">
        <v>-15</v>
      </c>
      <c r="R1747" t="n">
        <v>0.010254</v>
      </c>
      <c r="S1747">
        <f>IMAGE("https://mitra.stanford.edu/kundaje/oak/projects/neuro-variants/variant_position/credible/roussos_2024/variant_figures/roussos_2024.childhood.Astrocyte/rs62055469_count_position.png",4,220,900)</f>
        <v/>
      </c>
      <c r="T1747">
        <f>IMAGE("https://mitra.stanford.edu/kundaje/oak/projects/neuro-variants/variant_position/credible/roussos_2024/variant_figures/roussos_2024.childhood.Astrocyte/rs62055469_profile_position.png",4,220,900)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0.08753859239999991</v>
      </c>
      <c r="G1748" t="n">
        <v>0.0888968512898749</v>
      </c>
      <c r="H1748" t="n">
        <v>0.0123281719194809</v>
      </c>
      <c r="I1748" t="n">
        <v>0.4860329540565947</v>
      </c>
      <c r="J1748" t="n">
        <v>0.2231412149939318</v>
      </c>
      <c r="K1748" t="n">
        <v>0.1825935692202179</v>
      </c>
      <c r="L1748" t="b">
        <v>0</v>
      </c>
      <c r="M1748" t="b">
        <v>0</v>
      </c>
      <c r="N1748" t="inlineStr">
        <is>
          <t>alt</t>
        </is>
      </c>
      <c r="O1748" t="n">
        <v>65</v>
      </c>
      <c r="P1748" t="n">
        <v>0.01123</v>
      </c>
      <c r="Q1748" t="n">
        <v>75</v>
      </c>
      <c r="R1748" t="n">
        <v>0.0703</v>
      </c>
      <c r="S1748">
        <f>IMAGE("https://mitra.stanford.edu/kundaje/oak/projects/neuro-variants/variant_position/credible/roussos_2024/variant_figures/roussos_2024.childhood.Astrocyte/rs56327054_count_position.png",4,220,900)</f>
        <v/>
      </c>
      <c r="T1748">
        <f>IMAGE("https://mitra.stanford.edu/kundaje/oak/projects/neuro-variants/variant_position/credible/roussos_2024/variant_figures/roussos_2024.childhood.Astrocyte/rs56327054_profile_position.png",4,220,900)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0.036027281</v>
      </c>
      <c r="G1749" t="n">
        <v>0.3113810049899827</v>
      </c>
      <c r="H1749" t="n">
        <v>0.0111434964676206</v>
      </c>
      <c r="I1749" t="n">
        <v>0.5951221735901207</v>
      </c>
      <c r="J1749" t="n">
        <v>0.7646706815354202</v>
      </c>
      <c r="K1749" t="n">
        <v>0.0105819174069545</v>
      </c>
      <c r="L1749" t="b">
        <v>0</v>
      </c>
      <c r="M1749" t="b">
        <v>0</v>
      </c>
      <c r="N1749" t="inlineStr">
        <is>
          <t>alt</t>
        </is>
      </c>
      <c r="O1749" t="n">
        <v>100</v>
      </c>
      <c r="P1749" t="n">
        <v>0.04968</v>
      </c>
      <c r="Q1749" t="n">
        <v>100</v>
      </c>
      <c r="R1749" t="n">
        <v>0.7275</v>
      </c>
      <c r="S1749">
        <f>IMAGE("https://mitra.stanford.edu/kundaje/oak/projects/neuro-variants/variant_position/credible/roussos_2024/variant_figures/roussos_2024.childhood.Astrocyte/rs62055475_count_position.png",4,220,900)</f>
        <v/>
      </c>
      <c r="T1749">
        <f>IMAGE("https://mitra.stanford.edu/kundaje/oak/projects/neuro-variants/variant_position/credible/roussos_2024/variant_figures/roussos_2024.childhood.Astrocyte/rs62055475_profile_position.png",4,220,900)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0.158625608</v>
      </c>
      <c r="G1750" t="n">
        <v>0.0312656443206208</v>
      </c>
      <c r="H1750" t="n">
        <v>0.0197852335649032</v>
      </c>
      <c r="I1750" t="n">
        <v>0.1285217746586109</v>
      </c>
      <c r="J1750" t="n">
        <v>0.2777716715135139</v>
      </c>
      <c r="K1750" t="n">
        <v>0.1461097712651746</v>
      </c>
      <c r="L1750" t="b">
        <v>0</v>
      </c>
      <c r="M1750" t="b">
        <v>0</v>
      </c>
      <c r="N1750" t="inlineStr">
        <is>
          <t>alt</t>
        </is>
      </c>
      <c r="O1750" t="n">
        <v>-75</v>
      </c>
      <c r="P1750" t="n">
        <v>0.002457</v>
      </c>
      <c r="Q1750" t="n">
        <v>60</v>
      </c>
      <c r="R1750" t="n">
        <v>0.07666000000000001</v>
      </c>
      <c r="S1750">
        <f>IMAGE("https://mitra.stanford.edu/kundaje/oak/projects/neuro-variants/variant_position/credible/roussos_2024/variant_figures/roussos_2024.childhood.Astrocyte/rs56289364_count_position.png",4,220,900)</f>
        <v/>
      </c>
      <c r="T1750">
        <f>IMAGE("https://mitra.stanford.edu/kundaje/oak/projects/neuro-variants/variant_position/credible/roussos_2024/variant_figures/roussos_2024.childhood.Astrocyte/rs56289364_profile_position.png",4,220,900)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0.06967462200000001</v>
      </c>
      <c r="G1751" t="n">
        <v>0.1298418589057292</v>
      </c>
      <c r="H1751" t="n">
        <v>0.0139878799899166</v>
      </c>
      <c r="I1751" t="n">
        <v>0.361876455939988</v>
      </c>
      <c r="J1751" t="n">
        <v>0.08498087976002371</v>
      </c>
      <c r="K1751" t="n">
        <v>0.3570386283616063</v>
      </c>
      <c r="L1751" t="b">
        <v>0</v>
      </c>
      <c r="M1751" t="b">
        <v>0</v>
      </c>
      <c r="N1751" t="inlineStr">
        <is>
          <t>alt</t>
        </is>
      </c>
      <c r="O1751" t="n">
        <v>-100</v>
      </c>
      <c r="P1751" t="n">
        <v>0.006104</v>
      </c>
      <c r="Q1751" t="n">
        <v>70</v>
      </c>
      <c r="R1751" t="n">
        <v>0.1354</v>
      </c>
      <c r="S1751">
        <f>IMAGE("https://mitra.stanford.edu/kundaje/oak/projects/neuro-variants/variant_position/credible/roussos_2024/variant_figures/roussos_2024.childhood.Astrocyte/rs34416056_count_position.png",4,220,900)</f>
        <v/>
      </c>
      <c r="T1751">
        <f>IMAGE("https://mitra.stanford.edu/kundaje/oak/projects/neuro-variants/variant_position/credible/roussos_2024/variant_figures/roussos_2024.childhood.Astrocyte/rs34416056_profile_position.png",4,220,900)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0.2744919879999999</v>
      </c>
      <c r="G1752" t="n">
        <v>0.0075054485101342</v>
      </c>
      <c r="H1752" t="n">
        <v>0.0347758587807587</v>
      </c>
      <c r="I1752" t="n">
        <v>0.0214252589059368</v>
      </c>
      <c r="J1752" t="n">
        <v>0.0041438635860563</v>
      </c>
      <c r="K1752" t="n">
        <v>0.8005831047573098</v>
      </c>
      <c r="L1752" t="b">
        <v>1</v>
      </c>
      <c r="M1752" t="b">
        <v>1</v>
      </c>
      <c r="N1752" t="inlineStr">
        <is>
          <t>alt</t>
        </is>
      </c>
      <c r="O1752" t="n">
        <v>-75</v>
      </c>
      <c r="P1752" t="n">
        <v>0.006607</v>
      </c>
      <c r="Q1752" t="n">
        <v>-25</v>
      </c>
      <c r="R1752" t="n">
        <v>0.0726</v>
      </c>
      <c r="S1752">
        <f>IMAGE("https://mitra.stanford.edu/kundaje/oak/projects/neuro-variants/variant_position/credible/roussos_2024/variant_figures/roussos_2024.childhood.Astrocyte/rs62055497_count_position.png",4,220,900)</f>
        <v/>
      </c>
      <c r="T1752">
        <f>IMAGE("https://mitra.stanford.edu/kundaje/oak/projects/neuro-variants/variant_position/credible/roussos_2024/variant_figures/roussos_2024.childhood.Astrocyte/rs62055497_profile_position.png",4,220,900)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-0.0373440892</v>
      </c>
      <c r="G1753" t="n">
        <v>0.2262313972397856</v>
      </c>
      <c r="H1753" t="n">
        <v>0.0136665129048991</v>
      </c>
      <c r="I1753" t="n">
        <v>0.3910796947896074</v>
      </c>
      <c r="J1753" t="n">
        <v>0.0526825582194132</v>
      </c>
      <c r="K1753" t="n">
        <v>0.4323639376986404</v>
      </c>
      <c r="L1753" t="b">
        <v>0</v>
      </c>
      <c r="M1753" t="b">
        <v>0</v>
      </c>
      <c r="N1753" t="inlineStr">
        <is>
          <t>ref</t>
        </is>
      </c>
      <c r="O1753" t="n">
        <v>75</v>
      </c>
      <c r="P1753" t="n">
        <v>0.009124999999999999</v>
      </c>
      <c r="Q1753" t="n">
        <v>100</v>
      </c>
      <c r="R1753" t="n">
        <v>0.08795</v>
      </c>
      <c r="S1753">
        <f>IMAGE("https://mitra.stanford.edu/kundaje/oak/projects/neuro-variants/variant_position/credible/roussos_2024/variant_figures/roussos_2024.childhood.Astrocyte/rs55905252_count_position.png",4,220,900)</f>
        <v/>
      </c>
      <c r="T1753">
        <f>IMAGE("https://mitra.stanford.edu/kundaje/oak/projects/neuro-variants/variant_position/credible/roussos_2024/variant_figures/roussos_2024.childhood.Astrocyte/rs55905252_profile_position.png",4,220,900)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0.0084578201999999</v>
      </c>
      <c r="G1754" t="n">
        <v>0.7577973152363779</v>
      </c>
      <c r="H1754" t="n">
        <v>0.0283347708135568</v>
      </c>
      <c r="I1754" t="n">
        <v>0.0374062164363629</v>
      </c>
      <c r="J1754" t="n">
        <v>0.0025539450283559</v>
      </c>
      <c r="K1754" t="n">
        <v>0.8366794227169362</v>
      </c>
      <c r="L1754" t="b">
        <v>0</v>
      </c>
      <c r="M1754" t="b">
        <v>0</v>
      </c>
      <c r="N1754" t="inlineStr">
        <is>
          <t>alt</t>
        </is>
      </c>
      <c r="O1754" t="n">
        <v>55</v>
      </c>
      <c r="P1754" t="n">
        <v>0.002838</v>
      </c>
      <c r="Q1754" t="n">
        <v>45</v>
      </c>
      <c r="R1754" t="n">
        <v>0.01602</v>
      </c>
      <c r="S1754">
        <f>IMAGE("https://mitra.stanford.edu/kundaje/oak/projects/neuro-variants/variant_position/credible/roussos_2024/variant_figures/roussos_2024.childhood.Astrocyte/rs55768605_count_position.png",4,220,900)</f>
        <v/>
      </c>
      <c r="T1754">
        <f>IMAGE("https://mitra.stanford.edu/kundaje/oak/projects/neuro-variants/variant_position/credible/roussos_2024/variant_figures/roussos_2024.childhood.Astrocyte/rs55768605_profile_position.png",4,220,900)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0.052362452</v>
      </c>
      <c r="G1755" t="n">
        <v>0.2188650028921195</v>
      </c>
      <c r="H1755" t="n">
        <v>0.0114770981009137</v>
      </c>
      <c r="I1755" t="n">
        <v>0.5653753270794424</v>
      </c>
      <c r="J1755" t="n">
        <v>0.0299016128170486</v>
      </c>
      <c r="K1755" t="n">
        <v>0.5355366977133986</v>
      </c>
      <c r="L1755" t="b">
        <v>0</v>
      </c>
      <c r="M1755" t="b">
        <v>0</v>
      </c>
      <c r="N1755" t="inlineStr">
        <is>
          <t>alt</t>
        </is>
      </c>
      <c r="O1755" t="n">
        <v>-75</v>
      </c>
      <c r="P1755" t="n">
        <v>0.004555</v>
      </c>
      <c r="Q1755" t="n">
        <v>85</v>
      </c>
      <c r="R1755" t="n">
        <v>0.11383</v>
      </c>
      <c r="S1755">
        <f>IMAGE("https://mitra.stanford.edu/kundaje/oak/projects/neuro-variants/variant_position/credible/roussos_2024/variant_figures/roussos_2024.childhood.Astrocyte/rs55975673_count_position.png",4,220,900)</f>
        <v/>
      </c>
      <c r="T1755">
        <f>IMAGE("https://mitra.stanford.edu/kundaje/oak/projects/neuro-variants/variant_position/credible/roussos_2024/variant_figures/roussos_2024.childhood.Astrocyte/rs55975673_profile_position.png",4,220,900)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0.0329186516</v>
      </c>
      <c r="G1756" t="n">
        <v>0.3598230701474452</v>
      </c>
      <c r="H1756" t="n">
        <v>0.0126060062210661</v>
      </c>
      <c r="I1756" t="n">
        <v>0.4588083544998723</v>
      </c>
      <c r="J1756" t="n">
        <v>0.0050552235274361</v>
      </c>
      <c r="K1756" t="n">
        <v>0.7788587363688448</v>
      </c>
      <c r="L1756" t="b">
        <v>0</v>
      </c>
      <c r="M1756" t="b">
        <v>0</v>
      </c>
      <c r="N1756" t="inlineStr">
        <is>
          <t>alt</t>
        </is>
      </c>
      <c r="O1756" t="n">
        <v>55</v>
      </c>
      <c r="P1756" t="n">
        <v>0.002934</v>
      </c>
      <c r="Q1756" t="n">
        <v>70</v>
      </c>
      <c r="R1756" t="n">
        <v>0.3232</v>
      </c>
      <c r="S1756">
        <f>IMAGE("https://mitra.stanford.edu/kundaje/oak/projects/neuro-variants/variant_position/credible/roussos_2024/variant_figures/roussos_2024.childhood.Astrocyte/rs56194412_count_position.png",4,220,900)</f>
        <v/>
      </c>
      <c r="T1756">
        <f>IMAGE("https://mitra.stanford.edu/kundaje/oak/projects/neuro-variants/variant_position/credible/roussos_2024/variant_figures/roussos_2024.childhood.Astrocyte/rs56194412_profile_position.png",4,220,900)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-0.109744952</v>
      </c>
      <c r="G1757" t="n">
        <v>0.0595309040690576</v>
      </c>
      <c r="H1757" t="n">
        <v>0.0120239006713726</v>
      </c>
      <c r="I1757" t="n">
        <v>0.5149125281085185</v>
      </c>
      <c r="J1757" t="n">
        <v>0.0141283689404867</v>
      </c>
      <c r="K1757" t="n">
        <v>0.6599166970443716</v>
      </c>
      <c r="L1757" t="b">
        <v>0</v>
      </c>
      <c r="M1757" t="b">
        <v>0</v>
      </c>
      <c r="N1757" t="inlineStr">
        <is>
          <t>ref</t>
        </is>
      </c>
      <c r="O1757" t="n">
        <v>85</v>
      </c>
      <c r="P1757" t="n">
        <v>0.01329</v>
      </c>
      <c r="Q1757" t="n">
        <v>70</v>
      </c>
      <c r="R1757" t="n">
        <v>0.08813</v>
      </c>
      <c r="S1757">
        <f>IMAGE("https://mitra.stanford.edu/kundaje/oak/projects/neuro-variants/variant_position/credible/roussos_2024/variant_figures/roussos_2024.childhood.Astrocyte/rs77426526_count_position.png",4,220,900)</f>
        <v/>
      </c>
      <c r="T1757">
        <f>IMAGE("https://mitra.stanford.edu/kundaje/oak/projects/neuro-variants/variant_position/credible/roussos_2024/variant_figures/roussos_2024.childhood.Astrocyte/rs77426526_profile_position.png",4,220,900)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0.2023744094</v>
      </c>
      <c r="G1758" t="n">
        <v>0.0291184458535995</v>
      </c>
      <c r="H1758" t="n">
        <v>0.0370411100057211</v>
      </c>
      <c r="I1758" t="n">
        <v>0.0147436523275629</v>
      </c>
      <c r="J1758" t="n">
        <v>0.0265019501881492</v>
      </c>
      <c r="K1758" t="n">
        <v>0.5503576240476339</v>
      </c>
      <c r="L1758" t="b">
        <v>1</v>
      </c>
      <c r="M1758" t="b">
        <v>0</v>
      </c>
      <c r="N1758" t="inlineStr">
        <is>
          <t>alt</t>
        </is>
      </c>
      <c r="O1758" t="n">
        <v>75</v>
      </c>
      <c r="P1758" t="n">
        <v>0.02504</v>
      </c>
      <c r="Q1758" t="n">
        <v>-80</v>
      </c>
      <c r="R1758" t="n">
        <v>0.1875</v>
      </c>
      <c r="S1758">
        <f>IMAGE("https://mitra.stanford.edu/kundaje/oak/projects/neuro-variants/variant_position/credible/roussos_2024/variant_figures/roussos_2024.childhood.Astrocyte/rs74863825_count_position.png",4,220,900)</f>
        <v/>
      </c>
      <c r="T1758">
        <f>IMAGE("https://mitra.stanford.edu/kundaje/oak/projects/neuro-variants/variant_position/credible/roussos_2024/variant_figures/roussos_2024.childhood.Astrocyte/rs74863825_profile_position.png",4,220,900)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0.0245205298</v>
      </c>
      <c r="G1759" t="n">
        <v>0.4470558492732184</v>
      </c>
      <c r="H1759" t="n">
        <v>0.0164525383158139</v>
      </c>
      <c r="I1759" t="n">
        <v>0.232441052754721</v>
      </c>
      <c r="J1759" t="n">
        <v>0.0002358544571912</v>
      </c>
      <c r="K1759" t="n">
        <v>0.9659149632205278</v>
      </c>
      <c r="L1759" t="b">
        <v>0</v>
      </c>
      <c r="M1759" t="b">
        <v>0</v>
      </c>
      <c r="N1759" t="inlineStr">
        <is>
          <t>alt</t>
        </is>
      </c>
      <c r="O1759" t="n">
        <v>15</v>
      </c>
      <c r="P1759" t="n">
        <v>0.001165</v>
      </c>
      <c r="Q1759" t="n">
        <v>-90</v>
      </c>
      <c r="R1759" t="n">
        <v>0.1317</v>
      </c>
      <c r="S1759">
        <f>IMAGE("https://mitra.stanford.edu/kundaje/oak/projects/neuro-variants/variant_position/credible/roussos_2024/variant_figures/roussos_2024.childhood.Astrocyte/rs62055552_count_position.png",4,220,900)</f>
        <v/>
      </c>
      <c r="T1759">
        <f>IMAGE("https://mitra.stanford.edu/kundaje/oak/projects/neuro-variants/variant_position/credible/roussos_2024/variant_figures/roussos_2024.childhood.Astrocyte/rs62055552_profile_position.png",4,220,900)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-0.0400689954</v>
      </c>
      <c r="G1760" t="n">
        <v>0.2743647109232031</v>
      </c>
      <c r="H1760" t="n">
        <v>0.0115100379264574</v>
      </c>
      <c r="I1760" t="n">
        <v>0.5455330569633664</v>
      </c>
      <c r="J1760" t="n">
        <v>0.0118743941440925</v>
      </c>
      <c r="K1760" t="n">
        <v>0.6712015260581281</v>
      </c>
      <c r="L1760" t="b">
        <v>0</v>
      </c>
      <c r="M1760" t="b">
        <v>0</v>
      </c>
      <c r="N1760" t="inlineStr">
        <is>
          <t>ref</t>
        </is>
      </c>
      <c r="O1760" t="n">
        <v>-95</v>
      </c>
      <c r="P1760" t="n">
        <v>0.013954</v>
      </c>
      <c r="Q1760" t="n">
        <v>35</v>
      </c>
      <c r="R1760" t="n">
        <v>0.06177</v>
      </c>
      <c r="S1760">
        <f>IMAGE("https://mitra.stanford.edu/kundaje/oak/projects/neuro-variants/variant_position/credible/roussos_2024/variant_figures/roussos_2024.childhood.Astrocyte/rs62055558_count_position.png",4,220,900)</f>
        <v/>
      </c>
      <c r="T1760">
        <f>IMAGE("https://mitra.stanford.edu/kundaje/oak/projects/neuro-variants/variant_position/credible/roussos_2024/variant_figures/roussos_2024.childhood.Astrocyte/rs62055558_profile_position.png",4,220,900)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0.0516562702</v>
      </c>
      <c r="G1761" t="n">
        <v>0.2072852719652836</v>
      </c>
      <c r="H1761" t="n">
        <v>0.0177284103883934</v>
      </c>
      <c r="I1761" t="n">
        <v>0.1851530536889526</v>
      </c>
      <c r="J1761" t="n">
        <v>0.0034370634975154</v>
      </c>
      <c r="K1761" t="n">
        <v>0.8221887392200586</v>
      </c>
      <c r="L1761" t="b">
        <v>0</v>
      </c>
      <c r="M1761" t="b">
        <v>0</v>
      </c>
      <c r="N1761" t="inlineStr">
        <is>
          <t>alt</t>
        </is>
      </c>
      <c r="O1761" t="n">
        <v>100</v>
      </c>
      <c r="P1761" t="n">
        <v>0.002487</v>
      </c>
      <c r="Q1761" t="n">
        <v>75</v>
      </c>
      <c r="R1761" t="n">
        <v>0.03894</v>
      </c>
      <c r="S1761">
        <f>IMAGE("https://mitra.stanford.edu/kundaje/oak/projects/neuro-variants/variant_position/credible/roussos_2024/variant_figures/roussos_2024.childhood.Astrocyte/rs17691466_count_position.png",4,220,900)</f>
        <v/>
      </c>
      <c r="T1761">
        <f>IMAGE("https://mitra.stanford.edu/kundaje/oak/projects/neuro-variants/variant_position/credible/roussos_2024/variant_figures/roussos_2024.childhood.Astrocyte/rs17691466_profile_position.png",4,220,900)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-0.00263575072</v>
      </c>
      <c r="G1762" t="n">
        <v>0.8386677470739008</v>
      </c>
      <c r="H1762" t="n">
        <v>0.0280471149729844</v>
      </c>
      <c r="I1762" t="n">
        <v>0.0383763475010812</v>
      </c>
      <c r="J1762" t="n">
        <v>0.0177783884042041</v>
      </c>
      <c r="K1762" t="n">
        <v>0.6286621587486577</v>
      </c>
      <c r="L1762" t="b">
        <v>0</v>
      </c>
      <c r="M1762" t="b">
        <v>0</v>
      </c>
      <c r="N1762" t="inlineStr">
        <is>
          <t>ref</t>
        </is>
      </c>
      <c r="O1762" t="n">
        <v>-55</v>
      </c>
      <c r="P1762" t="n">
        <v>0.0149</v>
      </c>
      <c r="Q1762" t="n">
        <v>100</v>
      </c>
      <c r="R1762" t="n">
        <v>0.2328</v>
      </c>
      <c r="S1762">
        <f>IMAGE("https://mitra.stanford.edu/kundaje/oak/projects/neuro-variants/variant_position/credible/roussos_2024/variant_figures/roussos_2024.childhood.Astrocyte/rs55960528_count_position.png",4,220,900)</f>
        <v/>
      </c>
      <c r="T1762">
        <f>IMAGE("https://mitra.stanford.edu/kundaje/oak/projects/neuro-variants/variant_position/credible/roussos_2024/variant_figures/roussos_2024.childhood.Astrocyte/rs55960528_profile_position.png",4,220,900)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-0.0472787562</v>
      </c>
      <c r="G1763" t="n">
        <v>0.2392386567449484</v>
      </c>
      <c r="H1763" t="n">
        <v>0.0108879108671925</v>
      </c>
      <c r="I1763" t="n">
        <v>0.6220718368477249</v>
      </c>
      <c r="J1763" t="n">
        <v>0.0300031294604351</v>
      </c>
      <c r="K1763" t="n">
        <v>0.5476331967180427</v>
      </c>
      <c r="L1763" t="b">
        <v>0</v>
      </c>
      <c r="M1763" t="b">
        <v>0</v>
      </c>
      <c r="N1763" t="inlineStr">
        <is>
          <t>ref</t>
        </is>
      </c>
      <c r="O1763" t="n">
        <v>-50</v>
      </c>
      <c r="P1763" t="n">
        <v>0.008255</v>
      </c>
      <c r="Q1763" t="n">
        <v>75</v>
      </c>
      <c r="R1763" t="n">
        <v>0.0956</v>
      </c>
      <c r="S1763">
        <f>IMAGE("https://mitra.stanford.edu/kundaje/oak/projects/neuro-variants/variant_position/credible/roussos_2024/variant_figures/roussos_2024.childhood.Astrocyte/rs17691556_count_position.png",4,220,900)</f>
        <v/>
      </c>
      <c r="T1763">
        <f>IMAGE("https://mitra.stanford.edu/kundaje/oak/projects/neuro-variants/variant_position/credible/roussos_2024/variant_figures/roussos_2024.childhood.Astrocyte/rs17691556_profile_position.png",4,220,900)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0.00197028176</v>
      </c>
      <c r="G1764" t="n">
        <v>0.8954009552559633</v>
      </c>
      <c r="H1764" t="n">
        <v>0.0318974007070342</v>
      </c>
      <c r="I1764" t="n">
        <v>0.0241483979351622</v>
      </c>
      <c r="J1764" t="n">
        <v>0.0050239289230839</v>
      </c>
      <c r="K1764" t="n">
        <v>0.7740459957355993</v>
      </c>
      <c r="L1764" t="b">
        <v>0</v>
      </c>
      <c r="M1764" t="b">
        <v>0</v>
      </c>
      <c r="N1764" t="inlineStr">
        <is>
          <t>alt</t>
        </is>
      </c>
      <c r="O1764" t="n">
        <v>15</v>
      </c>
      <c r="P1764" t="n">
        <v>0.0004272</v>
      </c>
      <c r="Q1764" t="n">
        <v>-70</v>
      </c>
      <c r="R1764" t="n">
        <v>0.0886</v>
      </c>
      <c r="S1764">
        <f>IMAGE("https://mitra.stanford.edu/kundaje/oak/projects/neuro-variants/variant_position/credible/roussos_2024/variant_figures/roussos_2024.childhood.Astrocyte/rs78729125_count_position.png",4,220,900)</f>
        <v/>
      </c>
      <c r="T1764">
        <f>IMAGE("https://mitra.stanford.edu/kundaje/oak/projects/neuro-variants/variant_position/credible/roussos_2024/variant_figures/roussos_2024.childhood.Astrocyte/rs78729125_profile_position.png",4,220,900)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0.0128858502</v>
      </c>
      <c r="G1765" t="n">
        <v>0.2770797315039277</v>
      </c>
      <c r="H1765" t="n">
        <v>0.0356950766273703</v>
      </c>
      <c r="I1765" t="n">
        <v>0.0151309547420415</v>
      </c>
      <c r="J1765" t="n">
        <v>0.9769748040270814</v>
      </c>
      <c r="K1765" t="n">
        <v>3.894571196733529e-05</v>
      </c>
      <c r="L1765" t="b">
        <v>1</v>
      </c>
      <c r="M1765" t="b">
        <v>0</v>
      </c>
      <c r="N1765" t="inlineStr">
        <is>
          <t>alt</t>
        </is>
      </c>
      <c r="O1765" t="n">
        <v>-25</v>
      </c>
      <c r="P1765" t="n">
        <v>0.01001</v>
      </c>
      <c r="Q1765" t="n">
        <v>-15</v>
      </c>
      <c r="R1765" t="n">
        <v>0.05176</v>
      </c>
      <c r="S1765">
        <f>IMAGE("https://mitra.stanford.edu/kundaje/oak/projects/neuro-variants/variant_position/credible/roussos_2024/variant_figures/roussos_2024.childhood.Astrocyte/rs11575895_count_position.png",4,220,900)</f>
        <v/>
      </c>
      <c r="T1765">
        <f>IMAGE("https://mitra.stanford.edu/kundaje/oak/projects/neuro-variants/variant_position/credible/roussos_2024/variant_figures/roussos_2024.childhood.Astrocyte/rs11575895_profile_position.png",4,220,900)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0.20695861</v>
      </c>
      <c r="G1766" t="n">
        <v>0.014896683147601</v>
      </c>
      <c r="H1766" t="n">
        <v>0.0346338399420252</v>
      </c>
      <c r="I1766" t="n">
        <v>0.0183272531676318</v>
      </c>
      <c r="J1766" t="n">
        <v>0.8119476693152589</v>
      </c>
      <c r="K1766" t="n">
        <v>0.0073777424578897</v>
      </c>
      <c r="L1766" t="b">
        <v>1</v>
      </c>
      <c r="M1766" t="b">
        <v>0</v>
      </c>
      <c r="N1766" t="inlineStr">
        <is>
          <t>alt</t>
        </is>
      </c>
      <c r="O1766" t="n">
        <v>100</v>
      </c>
      <c r="P1766" t="n">
        <v>0.0056</v>
      </c>
      <c r="Q1766" t="n">
        <v>80</v>
      </c>
      <c r="R1766" t="n">
        <v>0.12115</v>
      </c>
      <c r="S1766">
        <f>IMAGE("https://mitra.stanford.edu/kundaje/oak/projects/neuro-variants/variant_position/credible/roussos_2024/variant_figures/roussos_2024.childhood.Astrocyte/rs62056781_count_position.png",4,220,900)</f>
        <v/>
      </c>
      <c r="T1766">
        <f>IMAGE("https://mitra.stanford.edu/kundaje/oak/projects/neuro-variants/variant_position/credible/roussos_2024/variant_figures/roussos_2024.childhood.Astrocyte/rs62056781_profile_position.png",4,220,900)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0.160417806</v>
      </c>
      <c r="G1767" t="n">
        <v>0.029741384411933</v>
      </c>
      <c r="H1767" t="n">
        <v>0.0639694256918905</v>
      </c>
      <c r="I1767" t="n">
        <v>0.0023570871480722</v>
      </c>
      <c r="J1767" t="n">
        <v>0.7788944608550296</v>
      </c>
      <c r="K1767" t="n">
        <v>0.0100643021612851</v>
      </c>
      <c r="L1767" t="b">
        <v>1</v>
      </c>
      <c r="M1767" t="b">
        <v>1</v>
      </c>
      <c r="N1767" t="inlineStr">
        <is>
          <t>alt</t>
        </is>
      </c>
      <c r="O1767" t="n">
        <v>-45</v>
      </c>
      <c r="P1767" t="n">
        <v>0.002716</v>
      </c>
      <c r="Q1767" t="n">
        <v>65</v>
      </c>
      <c r="R1767" t="n">
        <v>0.1648</v>
      </c>
      <c r="S1767">
        <f>IMAGE("https://mitra.stanford.edu/kundaje/oak/projects/neuro-variants/variant_position/credible/roussos_2024/variant_figures/roussos_2024.childhood.Astrocyte/rs62056782_count_position.png",4,220,900)</f>
        <v/>
      </c>
      <c r="T1767">
        <f>IMAGE("https://mitra.stanford.edu/kundaje/oak/projects/neuro-variants/variant_position/credible/roussos_2024/variant_figures/roussos_2024.childhood.Astrocyte/rs62056782_profile_position.png",4,220,900)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0.253421992</v>
      </c>
      <c r="G1768" t="n">
        <v>0.009710428513737501</v>
      </c>
      <c r="H1768" t="n">
        <v>0.0619199361126079</v>
      </c>
      <c r="I1768" t="n">
        <v>0.0026848524596398</v>
      </c>
      <c r="J1768" t="n">
        <v>0.7852724538786228</v>
      </c>
      <c r="K1768" t="n">
        <v>0.009454478956340599</v>
      </c>
      <c r="L1768" t="b">
        <v>1</v>
      </c>
      <c r="M1768" t="b">
        <v>1</v>
      </c>
      <c r="N1768" t="inlineStr">
        <is>
          <t>alt</t>
        </is>
      </c>
      <c r="O1768" t="n">
        <v>35</v>
      </c>
      <c r="P1768" t="n">
        <v>0.008545000000000001</v>
      </c>
      <c r="Q1768" t="n">
        <v>30</v>
      </c>
      <c r="R1768" t="n">
        <v>0.1226</v>
      </c>
      <c r="S1768">
        <f>IMAGE("https://mitra.stanford.edu/kundaje/oak/projects/neuro-variants/variant_position/credible/roussos_2024/variant_figures/roussos_2024.childhood.Astrocyte/rs80346216_count_position.png",4,220,900)</f>
        <v/>
      </c>
      <c r="T1768">
        <f>IMAGE("https://mitra.stanford.edu/kundaje/oak/projects/neuro-variants/variant_position/credible/roussos_2024/variant_figures/roussos_2024.childhood.Astrocyte/rs80346216_profile_position.png",4,220,900)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0.009836878300000001</v>
      </c>
      <c r="G1769" t="n">
        <v>0.6344118198161022</v>
      </c>
      <c r="H1769" t="n">
        <v>0.0117360073260363</v>
      </c>
      <c r="I1769" t="n">
        <v>0.5402873130857668</v>
      </c>
      <c r="J1769" t="n">
        <v>0.7394609695221085</v>
      </c>
      <c r="K1769" t="n">
        <v>0.0138884410356944</v>
      </c>
      <c r="L1769" t="b">
        <v>0</v>
      </c>
      <c r="M1769" t="b">
        <v>0</v>
      </c>
      <c r="N1769" t="inlineStr">
        <is>
          <t>alt</t>
        </is>
      </c>
      <c r="O1769" t="n">
        <v>-40</v>
      </c>
      <c r="P1769" t="n">
        <v>0.002419</v>
      </c>
      <c r="Q1769" t="n">
        <v>-40</v>
      </c>
      <c r="R1769" t="n">
        <v>0.1763</v>
      </c>
      <c r="S1769">
        <f>IMAGE("https://mitra.stanford.edu/kundaje/oak/projects/neuro-variants/variant_position/credible/roussos_2024/variant_figures/roussos_2024.childhood.Astrocyte/rs62056783_count_position.png",4,220,900)</f>
        <v/>
      </c>
      <c r="T1769">
        <f>IMAGE("https://mitra.stanford.edu/kundaje/oak/projects/neuro-variants/variant_position/credible/roussos_2024/variant_figures/roussos_2024.childhood.Astrocyte/rs62056783_profile_position.png",4,220,900)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-0.0332849146</v>
      </c>
      <c r="G1770" t="n">
        <v>0.2482664816874799</v>
      </c>
      <c r="H1770" t="n">
        <v>0.0132083077222693</v>
      </c>
      <c r="I1770" t="n">
        <v>0.4198732736674355</v>
      </c>
      <c r="J1770" t="n">
        <v>0.0551884164166914</v>
      </c>
      <c r="K1770" t="n">
        <v>0.4311484466023843</v>
      </c>
      <c r="L1770" t="b">
        <v>0</v>
      </c>
      <c r="M1770" t="b">
        <v>0</v>
      </c>
      <c r="N1770" t="inlineStr">
        <is>
          <t>ref</t>
        </is>
      </c>
      <c r="O1770" t="n">
        <v>-95</v>
      </c>
      <c r="P1770" t="n">
        <v>0.02217</v>
      </c>
      <c r="Q1770" t="n">
        <v>-20</v>
      </c>
      <c r="R1770" t="n">
        <v>0.02011</v>
      </c>
      <c r="S1770">
        <f>IMAGE("https://mitra.stanford.edu/kundaje/oak/projects/neuro-variants/variant_position/credible/roussos_2024/variant_figures/roussos_2024.childhood.Astrocyte/rs62056801_count_position.png",4,220,900)</f>
        <v/>
      </c>
      <c r="T1770">
        <f>IMAGE("https://mitra.stanford.edu/kundaje/oak/projects/neuro-variants/variant_position/credible/roussos_2024/variant_figures/roussos_2024.childhood.Astrocyte/rs62056801_profile_position.png",4,220,900)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0.165508074</v>
      </c>
      <c r="G1771" t="n">
        <v>0.02489778092068</v>
      </c>
      <c r="H1771" t="n">
        <v>0.0192219070487578</v>
      </c>
      <c r="I1771" t="n">
        <v>0.1442292709578558</v>
      </c>
      <c r="J1771" t="n">
        <v>0.5549266103363788</v>
      </c>
      <c r="K1771" t="n">
        <v>0.0423162719386176</v>
      </c>
      <c r="L1771" t="b">
        <v>0</v>
      </c>
      <c r="M1771" t="b">
        <v>0</v>
      </c>
      <c r="N1771" t="inlineStr">
        <is>
          <t>alt</t>
        </is>
      </c>
      <c r="O1771" t="n">
        <v>55</v>
      </c>
      <c r="P1771" t="n">
        <v>0.004425</v>
      </c>
      <c r="Q1771" t="n">
        <v>10</v>
      </c>
      <c r="R1771" t="n">
        <v>0.01367</v>
      </c>
      <c r="S1771">
        <f>IMAGE("https://mitra.stanford.edu/kundaje/oak/projects/neuro-variants/variant_position/credible/roussos_2024/variant_figures/roussos_2024.childhood.Astrocyte/rs1984937_count_position.png",4,220,900)</f>
        <v/>
      </c>
      <c r="T1771">
        <f>IMAGE("https://mitra.stanford.edu/kundaje/oak/projects/neuro-variants/variant_position/credible/roussos_2024/variant_figures/roussos_2024.childhood.Astrocyte/rs1984937_profile_position.png",4,220,900)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-0.0630021986</v>
      </c>
      <c r="G1772" t="n">
        <v>0.1605829340666853</v>
      </c>
      <c r="H1772" t="n">
        <v>0.014847864637681</v>
      </c>
      <c r="I1772" t="n">
        <v>0.3065080352235464</v>
      </c>
      <c r="J1772" t="n">
        <v>0.1909505163609717</v>
      </c>
      <c r="K1772" t="n">
        <v>0.2198403504235374</v>
      </c>
      <c r="L1772" t="b">
        <v>0</v>
      </c>
      <c r="M1772" t="b">
        <v>0</v>
      </c>
      <c r="N1772" t="inlineStr">
        <is>
          <t>ref</t>
        </is>
      </c>
      <c r="O1772" t="n">
        <v>100</v>
      </c>
      <c r="P1772" t="n">
        <v>0.05945</v>
      </c>
      <c r="Q1772" t="n">
        <v>100</v>
      </c>
      <c r="R1772" t="n">
        <v>0.1388</v>
      </c>
      <c r="S1772">
        <f>IMAGE("https://mitra.stanford.edu/kundaje/oak/projects/neuro-variants/variant_position/credible/roussos_2024/variant_figures/roussos_2024.childhood.Astrocyte/rs74509629_count_position.png",4,220,900)</f>
        <v/>
      </c>
      <c r="T1772">
        <f>IMAGE("https://mitra.stanford.edu/kundaje/oak/projects/neuro-variants/variant_position/credible/roussos_2024/variant_figures/roussos_2024.childhood.Astrocyte/rs74509629_profile_position.png",4,220,900)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0.1017924872</v>
      </c>
      <c r="G1773" t="n">
        <v>0.0668234618734752</v>
      </c>
      <c r="H1773" t="n">
        <v>0.0189297176661501</v>
      </c>
      <c r="I1773" t="n">
        <v>0.151771321437726</v>
      </c>
      <c r="J1773" t="n">
        <v>0.0378260172654621</v>
      </c>
      <c r="K1773" t="n">
        <v>0.4993056039622735</v>
      </c>
      <c r="L1773" t="b">
        <v>0</v>
      </c>
      <c r="M1773" t="b">
        <v>0</v>
      </c>
      <c r="N1773" t="inlineStr">
        <is>
          <t>alt</t>
        </is>
      </c>
      <c r="O1773" t="n">
        <v>-5</v>
      </c>
      <c r="P1773" t="n">
        <v>0.0002136</v>
      </c>
      <c r="Q1773" t="n">
        <v>100</v>
      </c>
      <c r="R1773" t="n">
        <v>0.03906</v>
      </c>
      <c r="S1773">
        <f>IMAGE("https://mitra.stanford.edu/kundaje/oak/projects/neuro-variants/variant_position/credible/roussos_2024/variant_figures/roussos_2024.childhood.Astrocyte/rs62056838_count_position.png",4,220,900)</f>
        <v/>
      </c>
      <c r="T1773">
        <f>IMAGE("https://mitra.stanford.edu/kundaje/oak/projects/neuro-variants/variant_position/credible/roussos_2024/variant_figures/roussos_2024.childhood.Astrocyte/rs62056838_profile_position.png",4,220,900)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-0.00587414136</v>
      </c>
      <c r="G1774" t="n">
        <v>0.580141822096274</v>
      </c>
      <c r="H1774" t="n">
        <v>0.007862209608739399</v>
      </c>
      <c r="I1774" t="n">
        <v>0.8989371837149007</v>
      </c>
      <c r="J1774" t="n">
        <v>0.11057833955409</v>
      </c>
      <c r="K1774" t="n">
        <v>0.3069181042926383</v>
      </c>
      <c r="L1774" t="b">
        <v>0</v>
      </c>
      <c r="M1774" t="b">
        <v>0</v>
      </c>
      <c r="N1774" t="inlineStr">
        <is>
          <t>ref</t>
        </is>
      </c>
      <c r="O1774" t="n">
        <v>100</v>
      </c>
      <c r="P1774" t="n">
        <v>0.04272</v>
      </c>
      <c r="Q1774" t="n">
        <v>100</v>
      </c>
      <c r="R1774" t="n">
        <v>0.4023</v>
      </c>
      <c r="S1774">
        <f>IMAGE("https://mitra.stanford.edu/kundaje/oak/projects/neuro-variants/variant_position/credible/roussos_2024/variant_figures/roussos_2024.childhood.Astrocyte/rs17564020_count_position.png",4,220,900)</f>
        <v/>
      </c>
      <c r="T1774">
        <f>IMAGE("https://mitra.stanford.edu/kundaje/oak/projects/neuro-variants/variant_position/credible/roussos_2024/variant_figures/roussos_2024.childhood.Astrocyte/rs17564020_profile_position.png",4,220,900)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-0.0295581034</v>
      </c>
      <c r="G1775" t="n">
        <v>0.2848300446240639</v>
      </c>
      <c r="H1775" t="n">
        <v>0.0096882903645619</v>
      </c>
      <c r="I1775" t="n">
        <v>0.7161325015549204</v>
      </c>
      <c r="J1775" t="n">
        <v>0.1423843435384274</v>
      </c>
      <c r="K1775" t="n">
        <v>0.2615883668381166</v>
      </c>
      <c r="L1775" t="b">
        <v>0</v>
      </c>
      <c r="M1775" t="b">
        <v>0</v>
      </c>
      <c r="N1775" t="inlineStr">
        <is>
          <t>ref</t>
        </is>
      </c>
      <c r="O1775" t="n">
        <v>100</v>
      </c>
      <c r="P1775" t="n">
        <v>0.06052</v>
      </c>
      <c r="Q1775" t="n">
        <v>0</v>
      </c>
      <c r="R1775" t="n">
        <v>0</v>
      </c>
      <c r="S1775">
        <f>IMAGE("https://mitra.stanford.edu/kundaje/oak/projects/neuro-variants/variant_position/credible/roussos_2024/variant_figures/roussos_2024.childhood.Astrocyte/rs55682376_count_position.png",4,220,900)</f>
        <v/>
      </c>
      <c r="T1775">
        <f>IMAGE("https://mitra.stanford.edu/kundaje/oak/projects/neuro-variants/variant_position/credible/roussos_2024/variant_figures/roussos_2024.childhood.Astrocyte/rs55682376_profile_position.png",4,220,900)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-0.0407065677999999</v>
      </c>
      <c r="G1776" t="n">
        <v>0.2065140601678698</v>
      </c>
      <c r="H1776" t="n">
        <v>0.0129592209363387</v>
      </c>
      <c r="I1776" t="n">
        <v>0.4289618396591105</v>
      </c>
      <c r="J1776" t="n">
        <v>0.2013716196102676</v>
      </c>
      <c r="K1776" t="n">
        <v>0.2010156487728941</v>
      </c>
      <c r="L1776" t="b">
        <v>0</v>
      </c>
      <c r="M1776" t="b">
        <v>0</v>
      </c>
      <c r="N1776" t="inlineStr">
        <is>
          <t>ref</t>
        </is>
      </c>
      <c r="O1776" t="n">
        <v>-100</v>
      </c>
      <c r="P1776" t="n">
        <v>0.008194</v>
      </c>
      <c r="Q1776" t="n">
        <v>35</v>
      </c>
      <c r="R1776" t="n">
        <v>0.0698</v>
      </c>
      <c r="S1776">
        <f>IMAGE("https://mitra.stanford.edu/kundaje/oak/projects/neuro-variants/variant_position/credible/roussos_2024/variant_figures/roussos_2024.childhood.Astrocyte/rs62056848_count_position.png",4,220,900)</f>
        <v/>
      </c>
      <c r="T1776">
        <f>IMAGE("https://mitra.stanford.edu/kundaje/oak/projects/neuro-variants/variant_position/credible/roussos_2024/variant_figures/roussos_2024.childhood.Astrocyte/rs62056848_profile_position.png",4,220,900)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0.03595156432</v>
      </c>
      <c r="G1777" t="n">
        <v>0.3150996159237837</v>
      </c>
      <c r="H1777" t="n">
        <v>0.0121652547566642</v>
      </c>
      <c r="I1777" t="n">
        <v>0.4969357839737011</v>
      </c>
      <c r="J1777" t="n">
        <v>0.2093609031164845</v>
      </c>
      <c r="K1777" t="n">
        <v>0.1943300361287268</v>
      </c>
      <c r="L1777" t="b">
        <v>0</v>
      </c>
      <c r="M1777" t="b">
        <v>0</v>
      </c>
      <c r="N1777" t="inlineStr">
        <is>
          <t>alt</t>
        </is>
      </c>
      <c r="O1777" t="n">
        <v>-85</v>
      </c>
      <c r="P1777" t="n">
        <v>0.00878</v>
      </c>
      <c r="Q1777" t="n">
        <v>100</v>
      </c>
      <c r="R1777" t="n">
        <v>0.06934</v>
      </c>
      <c r="S1777">
        <f>IMAGE("https://mitra.stanford.edu/kundaje/oak/projects/neuro-variants/variant_position/credible/roussos_2024/variant_figures/roussos_2024.childhood.Astrocyte/rs62056849_count_position.png",4,220,900)</f>
        <v/>
      </c>
      <c r="T1777">
        <f>IMAGE("https://mitra.stanford.edu/kundaje/oak/projects/neuro-variants/variant_position/credible/roussos_2024/variant_figures/roussos_2024.childhood.Astrocyte/rs62056849_profile_position.png",4,220,900)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-0.0148575247999999</v>
      </c>
      <c r="G1778" t="n">
        <v>0.628042317850756</v>
      </c>
      <c r="H1778" t="n">
        <v>0.0097690933269732</v>
      </c>
      <c r="I1778" t="n">
        <v>0.733400796002056</v>
      </c>
      <c r="J1778" t="n">
        <v>0.1717730301573125</v>
      </c>
      <c r="K1778" t="n">
        <v>0.2315916519298114</v>
      </c>
      <c r="L1778" t="b">
        <v>0</v>
      </c>
      <c r="M1778" t="b">
        <v>0</v>
      </c>
      <c r="N1778" t="inlineStr">
        <is>
          <t>ref</t>
        </is>
      </c>
      <c r="O1778" t="n">
        <v>95</v>
      </c>
      <c r="P1778" t="n">
        <v>0.003483</v>
      </c>
      <c r="Q1778" t="n">
        <v>100</v>
      </c>
      <c r="R1778" t="n">
        <v>0.06018</v>
      </c>
      <c r="S1778">
        <f>IMAGE("https://mitra.stanford.edu/kundaje/oak/projects/neuro-variants/variant_position/credible/roussos_2024/variant_figures/roussos_2024.childhood.Astrocyte/rs17649700_count_position.png",4,220,900)</f>
        <v/>
      </c>
      <c r="T1778">
        <f>IMAGE("https://mitra.stanford.edu/kundaje/oak/projects/neuro-variants/variant_position/credible/roussos_2024/variant_figures/roussos_2024.childhood.Astrocyte/rs17649700_profile_position.png",4,220,900)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0.146635776</v>
      </c>
      <c r="G1779" t="n">
        <v>0.0348866780175495</v>
      </c>
      <c r="H1779" t="n">
        <v>0.0380813657670508</v>
      </c>
      <c r="I1779" t="n">
        <v>0.0133371112256735</v>
      </c>
      <c r="J1779" t="n">
        <v>0.2224855548686008</v>
      </c>
      <c r="K1779" t="n">
        <v>0.1867186694135461</v>
      </c>
      <c r="L1779" t="b">
        <v>1</v>
      </c>
      <c r="M1779" t="b">
        <v>0</v>
      </c>
      <c r="N1779" t="inlineStr">
        <is>
          <t>alt</t>
        </is>
      </c>
      <c r="O1779" t="n">
        <v>65</v>
      </c>
      <c r="P1779" t="n">
        <v>0.006958</v>
      </c>
      <c r="Q1779" t="n">
        <v>60</v>
      </c>
      <c r="R1779" t="n">
        <v>0.06238</v>
      </c>
      <c r="S1779">
        <f>IMAGE("https://mitra.stanford.edu/kundaje/oak/projects/neuro-variants/variant_position/credible/roussos_2024/variant_figures/roussos_2024.childhood.Astrocyte/rs8079501_count_position.png",4,220,900)</f>
        <v/>
      </c>
      <c r="T1779">
        <f>IMAGE("https://mitra.stanford.edu/kundaje/oak/projects/neuro-variants/variant_position/credible/roussos_2024/variant_figures/roussos_2024.childhood.Astrocyte/rs8079501_profile_position.png",4,220,900)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0.0404426526</v>
      </c>
      <c r="G1780" t="n">
        <v>0.2882693097165665</v>
      </c>
      <c r="H1780" t="n">
        <v>0.010208959823778</v>
      </c>
      <c r="I1780" t="n">
        <v>0.6967746011456171</v>
      </c>
      <c r="J1780" t="n">
        <v>0.5010823353407676</v>
      </c>
      <c r="K1780" t="n">
        <v>0.0544337000428846</v>
      </c>
      <c r="L1780" t="b">
        <v>0</v>
      </c>
      <c r="M1780" t="b">
        <v>0</v>
      </c>
      <c r="N1780" t="inlineStr">
        <is>
          <t>alt</t>
        </is>
      </c>
      <c r="O1780" t="n">
        <v>-45</v>
      </c>
      <c r="P1780" t="n">
        <v>0.05328</v>
      </c>
      <c r="Q1780" t="n">
        <v>-95</v>
      </c>
      <c r="R1780" t="n">
        <v>0.538</v>
      </c>
      <c r="S1780">
        <f>IMAGE("https://mitra.stanford.edu/kundaje/oak/projects/neuro-variants/variant_position/credible/roussos_2024/variant_figures/roussos_2024.childhood.Astrocyte/rs55685451_count_position.png",4,220,900)</f>
        <v/>
      </c>
      <c r="T1780">
        <f>IMAGE("https://mitra.stanford.edu/kundaje/oak/projects/neuro-variants/variant_position/credible/roussos_2024/variant_figures/roussos_2024.childhood.Astrocyte/rs55685451_profile_position.png",4,220,900)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-0.2196178091999999</v>
      </c>
      <c r="G1781" t="n">
        <v>0.0139534913169027</v>
      </c>
      <c r="H1781" t="n">
        <v>0.0430335491561565</v>
      </c>
      <c r="I1781" t="n">
        <v>0.0076939410811634</v>
      </c>
      <c r="J1781" t="n">
        <v>0.0466617816552555</v>
      </c>
      <c r="K1781" t="n">
        <v>0.4838987644030681</v>
      </c>
      <c r="L1781" t="b">
        <v>1</v>
      </c>
      <c r="M1781" t="b">
        <v>0</v>
      </c>
      <c r="N1781" t="inlineStr">
        <is>
          <t>ref</t>
        </is>
      </c>
      <c r="O1781" t="n">
        <v>-80</v>
      </c>
      <c r="P1781" t="n">
        <v>0.00928</v>
      </c>
      <c r="Q1781" t="n">
        <v>10</v>
      </c>
      <c r="R1781" t="n">
        <v>0.006348</v>
      </c>
      <c r="S1781">
        <f>IMAGE("https://mitra.stanford.edu/kundaje/oak/projects/neuro-variants/variant_position/credible/roussos_2024/variant_figures/roussos_2024.childhood.Astrocyte/rs17564780_count_position.png",4,220,900)</f>
        <v/>
      </c>
      <c r="T1781">
        <f>IMAGE("https://mitra.stanford.edu/kundaje/oak/projects/neuro-variants/variant_position/credible/roussos_2024/variant_figures/roussos_2024.childhood.Astrocyte/rs17564780_profile_position.png",4,220,900)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-0.008235439635999899</v>
      </c>
      <c r="G1782" t="n">
        <v>0.7016414740534108</v>
      </c>
      <c r="H1782" t="n">
        <v>0.0328910071989931</v>
      </c>
      <c r="I1782" t="n">
        <v>0.0209120807683723</v>
      </c>
      <c r="J1782" t="n">
        <v>0.030789310984406</v>
      </c>
      <c r="K1782" t="n">
        <v>0.5263060402392949</v>
      </c>
      <c r="L1782" t="b">
        <v>0</v>
      </c>
      <c r="M1782" t="b">
        <v>0</v>
      </c>
      <c r="N1782" t="inlineStr">
        <is>
          <t>ref</t>
        </is>
      </c>
      <c r="O1782" t="n">
        <v>100</v>
      </c>
      <c r="P1782" t="n">
        <v>0.03223</v>
      </c>
      <c r="Q1782" t="n">
        <v>100</v>
      </c>
      <c r="R1782" t="n">
        <v>0.2832</v>
      </c>
      <c r="S1782">
        <f>IMAGE("https://mitra.stanford.edu/kundaje/oak/projects/neuro-variants/variant_position/credible/roussos_2024/variant_figures/roussos_2024.childhood.Astrocyte/rs62061714_count_position.png",4,220,900)</f>
        <v/>
      </c>
      <c r="T1782">
        <f>IMAGE("https://mitra.stanford.edu/kundaje/oak/projects/neuro-variants/variant_position/credible/roussos_2024/variant_figures/roussos_2024.childhood.Astrocyte/rs62061714_profile_position.png",4,220,900)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0.0046666604</v>
      </c>
      <c r="G1783" t="n">
        <v>0.7529733308947354</v>
      </c>
      <c r="H1783" t="n">
        <v>0.0142541789692224</v>
      </c>
      <c r="I1783" t="n">
        <v>0.346246919258737</v>
      </c>
      <c r="J1783" t="n">
        <v>0.1064627174402539</v>
      </c>
      <c r="K1783" t="n">
        <v>0.3227854571773549</v>
      </c>
      <c r="L1783" t="b">
        <v>0</v>
      </c>
      <c r="M1783" t="b">
        <v>0</v>
      </c>
      <c r="N1783" t="inlineStr">
        <is>
          <t>alt</t>
        </is>
      </c>
      <c r="O1783" t="n">
        <v>95</v>
      </c>
      <c r="P1783" t="n">
        <v>0.003292</v>
      </c>
      <c r="Q1783" t="n">
        <v>-100</v>
      </c>
      <c r="R1783" t="n">
        <v>0.1227</v>
      </c>
      <c r="S1783">
        <f>IMAGE("https://mitra.stanford.edu/kundaje/oak/projects/neuro-variants/variant_position/credible/roussos_2024/variant_figures/roussos_2024.childhood.Astrocyte/rs62061716_count_position.png",4,220,900)</f>
        <v/>
      </c>
      <c r="T1783">
        <f>IMAGE("https://mitra.stanford.edu/kundaje/oak/projects/neuro-variants/variant_position/credible/roussos_2024/variant_figures/roussos_2024.childhood.Astrocyte/rs62061716_profile_position.png",4,220,900)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0.0610958074</v>
      </c>
      <c r="G1784" t="n">
        <v>0.1710820409648043</v>
      </c>
      <c r="H1784" t="n">
        <v>0.0124789507876102</v>
      </c>
      <c r="I1784" t="n">
        <v>0.4735560403668817</v>
      </c>
      <c r="J1784" t="n">
        <v>0.1764412691870272</v>
      </c>
      <c r="K1784" t="n">
        <v>0.2296786085090195</v>
      </c>
      <c r="L1784" t="b">
        <v>0</v>
      </c>
      <c r="M1784" t="b">
        <v>0</v>
      </c>
      <c r="N1784" t="inlineStr">
        <is>
          <t>alt</t>
        </is>
      </c>
      <c r="O1784" t="n">
        <v>85</v>
      </c>
      <c r="P1784" t="n">
        <v>0.0061</v>
      </c>
      <c r="Q1784" t="n">
        <v>-100</v>
      </c>
      <c r="R1784" t="n">
        <v>0.053</v>
      </c>
      <c r="S1784">
        <f>IMAGE("https://mitra.stanford.edu/kundaje/oak/projects/neuro-variants/variant_position/credible/roussos_2024/variant_figures/roussos_2024.childhood.Astrocyte/rs77924424_count_position.png",4,220,900)</f>
        <v/>
      </c>
      <c r="T1784">
        <f>IMAGE("https://mitra.stanford.edu/kundaje/oak/projects/neuro-variants/variant_position/credible/roussos_2024/variant_figures/roussos_2024.childhood.Astrocyte/rs77924424_profile_position.png",4,220,900)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0.169141578</v>
      </c>
      <c r="G1785" t="n">
        <v>0.0233493995288567</v>
      </c>
      <c r="H1785" t="n">
        <v>0.0332677381269367</v>
      </c>
      <c r="I1785" t="n">
        <v>0.0212352874906653</v>
      </c>
      <c r="J1785" t="n">
        <v>0.1343118621816155</v>
      </c>
      <c r="K1785" t="n">
        <v>0.2815019996757203</v>
      </c>
      <c r="L1785" t="b">
        <v>0</v>
      </c>
      <c r="M1785" t="b">
        <v>0</v>
      </c>
      <c r="N1785" t="inlineStr">
        <is>
          <t>alt</t>
        </is>
      </c>
      <c r="O1785" t="n">
        <v>-70</v>
      </c>
      <c r="P1785" t="n">
        <v>0.003555</v>
      </c>
      <c r="Q1785" t="n">
        <v>65</v>
      </c>
      <c r="R1785" t="n">
        <v>0.09155000000000001</v>
      </c>
      <c r="S1785">
        <f>IMAGE("https://mitra.stanford.edu/kundaje/oak/projects/neuro-variants/variant_position/credible/roussos_2024/variant_figures/roussos_2024.childhood.Astrocyte/rs62061720_count_position.png",4,220,900)</f>
        <v/>
      </c>
      <c r="T1785">
        <f>IMAGE("https://mitra.stanford.edu/kundaje/oak/projects/neuro-variants/variant_position/credible/roussos_2024/variant_figures/roussos_2024.childhood.Astrocyte/rs62061720_profile_position.png",4,220,900)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0.0133661147999999</v>
      </c>
      <c r="G1786" t="n">
        <v>0.3242324879466729</v>
      </c>
      <c r="H1786" t="n">
        <v>0.0166057340648383</v>
      </c>
      <c r="I1786" t="n">
        <v>0.2326915894882254</v>
      </c>
      <c r="J1786" t="n">
        <v>0.1168960332180775</v>
      </c>
      <c r="K1786" t="n">
        <v>0.3122179847453414</v>
      </c>
      <c r="L1786" t="b">
        <v>0</v>
      </c>
      <c r="M1786" t="b">
        <v>0</v>
      </c>
      <c r="N1786" t="inlineStr">
        <is>
          <t>alt</t>
        </is>
      </c>
      <c r="O1786" t="n">
        <v>-75</v>
      </c>
      <c r="P1786" t="n">
        <v>0.01685</v>
      </c>
      <c r="Q1786" t="n">
        <v>-75</v>
      </c>
      <c r="R1786" t="n">
        <v>0.2686</v>
      </c>
      <c r="S1786">
        <f>IMAGE("https://mitra.stanford.edu/kundaje/oak/projects/neuro-variants/variant_position/credible/roussos_2024/variant_figures/roussos_2024.childhood.Astrocyte/rs12150460_count_position.png",4,220,900)</f>
        <v/>
      </c>
      <c r="T1786">
        <f>IMAGE("https://mitra.stanford.edu/kundaje/oak/projects/neuro-variants/variant_position/credible/roussos_2024/variant_figures/roussos_2024.childhood.Astrocyte/rs12150460_profile_position.png",4,220,900)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0.0591586745999999</v>
      </c>
      <c r="G1787" t="n">
        <v>0.1817366153785829</v>
      </c>
      <c r="H1787" t="n">
        <v>0.0239560283681648</v>
      </c>
      <c r="I1787" t="n">
        <v>0.0697433934333143</v>
      </c>
      <c r="J1787" t="n">
        <v>0.2720195705769656</v>
      </c>
      <c r="K1787" t="n">
        <v>0.1492588675759222</v>
      </c>
      <c r="L1787" t="b">
        <v>0</v>
      </c>
      <c r="M1787" t="b">
        <v>0</v>
      </c>
      <c r="N1787" t="inlineStr">
        <is>
          <t>alt</t>
        </is>
      </c>
      <c r="O1787" t="n">
        <v>-75</v>
      </c>
      <c r="P1787" t="n">
        <v>0.01962</v>
      </c>
      <c r="Q1787" t="n">
        <v>85</v>
      </c>
      <c r="R1787" t="n">
        <v>0.0709</v>
      </c>
      <c r="S1787">
        <f>IMAGE("https://mitra.stanford.edu/kundaje/oak/projects/neuro-variants/variant_position/credible/roussos_2024/variant_figures/roussos_2024.childhood.Astrocyte/rs62061732_count_position.png",4,220,900)</f>
        <v/>
      </c>
      <c r="T1787">
        <f>IMAGE("https://mitra.stanford.edu/kundaje/oak/projects/neuro-variants/variant_position/credible/roussos_2024/variant_figures/roussos_2024.childhood.Astrocyte/rs62061732_profile_position.png",4,220,900)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0.0098838912</v>
      </c>
      <c r="G1788" t="n">
        <v>0.2306238268135541</v>
      </c>
      <c r="H1788" t="n">
        <v>0.011861037274906</v>
      </c>
      <c r="I1788" t="n">
        <v>0.5326474281803358</v>
      </c>
      <c r="J1788" t="n">
        <v>0.5716455618908048</v>
      </c>
      <c r="K1788" t="n">
        <v>0.0387597642644109</v>
      </c>
      <c r="L1788" t="b">
        <v>0</v>
      </c>
      <c r="M1788" t="b">
        <v>0</v>
      </c>
      <c r="N1788" t="inlineStr">
        <is>
          <t>alt</t>
        </is>
      </c>
      <c r="O1788" t="n">
        <v>75</v>
      </c>
      <c r="P1788" t="n">
        <v>0.02087</v>
      </c>
      <c r="Q1788" t="n">
        <v>-25</v>
      </c>
      <c r="R1788" t="n">
        <v>0.1118</v>
      </c>
      <c r="S1788">
        <f>IMAGE("https://mitra.stanford.edu/kundaje/oak/projects/neuro-variants/variant_position/credible/roussos_2024/variant_figures/roussos_2024.childhood.Astrocyte/rs62061733_count_position.png",4,220,900)</f>
        <v/>
      </c>
      <c r="T1788">
        <f>IMAGE("https://mitra.stanford.edu/kundaje/oak/projects/neuro-variants/variant_position/credible/roussos_2024/variant_figures/roussos_2024.childhood.Astrocyte/rs62061733_profile_position.png",4,220,900)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-0.0031387264</v>
      </c>
      <c r="G1789" t="n">
        <v>0.6287253934242609</v>
      </c>
      <c r="H1789" t="n">
        <v>0.013262477355613</v>
      </c>
      <c r="I1789" t="n">
        <v>0.4066329049171692</v>
      </c>
      <c r="J1789" t="n">
        <v>0.6207887766862831</v>
      </c>
      <c r="K1789" t="n">
        <v>0.0268466210256467</v>
      </c>
      <c r="L1789" t="b">
        <v>0</v>
      </c>
      <c r="M1789" t="b">
        <v>0</v>
      </c>
      <c r="N1789" t="inlineStr">
        <is>
          <t>ref</t>
        </is>
      </c>
      <c r="O1789" t="n">
        <v>95</v>
      </c>
      <c r="P1789" t="n">
        <v>0.01698</v>
      </c>
      <c r="Q1789" t="n">
        <v>95</v>
      </c>
      <c r="R1789" t="n">
        <v>0.2323</v>
      </c>
      <c r="S1789">
        <f>IMAGE("https://mitra.stanford.edu/kundaje/oak/projects/neuro-variants/variant_position/credible/roussos_2024/variant_figures/roussos_2024.childhood.Astrocyte/rs62062770_count_position.png",4,220,900)</f>
        <v/>
      </c>
      <c r="T1789">
        <f>IMAGE("https://mitra.stanford.edu/kundaje/oak/projects/neuro-variants/variant_position/credible/roussos_2024/variant_figures/roussos_2024.childhood.Astrocyte/rs62062770_profile_position.png",4,220,900)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0.00718936892</v>
      </c>
      <c r="G1790" t="n">
        <v>0.7682861985831213</v>
      </c>
      <c r="H1790" t="n">
        <v>0.0057156102969541</v>
      </c>
      <c r="I1790" t="n">
        <v>0.9924712894238286</v>
      </c>
      <c r="J1790" t="n">
        <v>0.496170609023532</v>
      </c>
      <c r="K1790" t="n">
        <v>0.0531831737175713</v>
      </c>
      <c r="L1790" t="b">
        <v>0</v>
      </c>
      <c r="M1790" t="b">
        <v>0</v>
      </c>
      <c r="N1790" t="inlineStr">
        <is>
          <t>alt</t>
        </is>
      </c>
      <c r="O1790" t="n">
        <v>-95</v>
      </c>
      <c r="P1790" t="n">
        <v>0.008070000000000001</v>
      </c>
      <c r="Q1790" t="n">
        <v>20</v>
      </c>
      <c r="R1790" t="n">
        <v>0.02844</v>
      </c>
      <c r="S1790">
        <f>IMAGE("https://mitra.stanford.edu/kundaje/oak/projects/neuro-variants/variant_position/credible/roussos_2024/variant_figures/roussos_2024.childhood.Astrocyte/rs62062772_count_position.png",4,220,900)</f>
        <v/>
      </c>
      <c r="T1790">
        <f>IMAGE("https://mitra.stanford.edu/kundaje/oak/projects/neuro-variants/variant_position/credible/roussos_2024/variant_figures/roussos_2024.childhood.Astrocyte/rs62062772_profile_position.png",4,220,900)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-0.1026821032</v>
      </c>
      <c r="G1791" t="n">
        <v>0.0719786731807787</v>
      </c>
      <c r="H1791" t="n">
        <v>0.0154629590917871</v>
      </c>
      <c r="I1791" t="n">
        <v>0.2760883222907001</v>
      </c>
      <c r="J1791" t="n">
        <v>0.0254677016784593</v>
      </c>
      <c r="K1791" t="n">
        <v>0.5977113861176816</v>
      </c>
      <c r="L1791" t="b">
        <v>0</v>
      </c>
      <c r="M1791" t="b">
        <v>0</v>
      </c>
      <c r="N1791" t="inlineStr">
        <is>
          <t>ref</t>
        </is>
      </c>
      <c r="O1791" t="n">
        <v>10</v>
      </c>
      <c r="P1791" t="n">
        <v>0.000721</v>
      </c>
      <c r="Q1791" t="n">
        <v>-85</v>
      </c>
      <c r="R1791" t="n">
        <v>0.128</v>
      </c>
      <c r="S1791">
        <f>IMAGE("https://mitra.stanford.edu/kundaje/oak/projects/neuro-variants/variant_position/credible/roussos_2024/variant_figures/roussos_2024.childhood.Astrocyte/rs75839508_count_position.png",4,220,900)</f>
        <v/>
      </c>
      <c r="T1791">
        <f>IMAGE("https://mitra.stanford.edu/kundaje/oak/projects/neuro-variants/variant_position/credible/roussos_2024/variant_figures/roussos_2024.childhood.Astrocyte/rs75839508_profile_position.png",4,220,900)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-0.1196119988</v>
      </c>
      <c r="G1792" t="n">
        <v>0.0564267409272202</v>
      </c>
      <c r="H1792" t="n">
        <v>0.0195574270698561</v>
      </c>
      <c r="I1792" t="n">
        <v>0.1398790579089714</v>
      </c>
      <c r="J1792" t="n">
        <v>0.3950783510033354</v>
      </c>
      <c r="K1792" t="n">
        <v>0.08922037733299409</v>
      </c>
      <c r="L1792" t="b">
        <v>0</v>
      </c>
      <c r="M1792" t="b">
        <v>0</v>
      </c>
      <c r="N1792" t="inlineStr">
        <is>
          <t>ref</t>
        </is>
      </c>
      <c r="O1792" t="n">
        <v>-100</v>
      </c>
      <c r="P1792" t="n">
        <v>0.02863</v>
      </c>
      <c r="Q1792" t="n">
        <v>-95</v>
      </c>
      <c r="R1792" t="n">
        <v>0.3271</v>
      </c>
      <c r="S1792">
        <f>IMAGE("https://mitra.stanford.edu/kundaje/oak/projects/neuro-variants/variant_position/credible/roussos_2024/variant_figures/roussos_2024.childhood.Astrocyte/rs62062785_count_position.png",4,220,900)</f>
        <v/>
      </c>
      <c r="T1792">
        <f>IMAGE("https://mitra.stanford.edu/kundaje/oak/projects/neuro-variants/variant_position/credible/roussos_2024/variant_figures/roussos_2024.childhood.Astrocyte/rs62062785_profile_position.png",4,220,900)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-0.102189164</v>
      </c>
      <c r="G1793" t="n">
        <v>0.0686104106785568</v>
      </c>
      <c r="H1793" t="n">
        <v>0.0186559487789938</v>
      </c>
      <c r="I1793" t="n">
        <v>0.1634642152001703</v>
      </c>
      <c r="J1793" t="n">
        <v>0.3261577095402746</v>
      </c>
      <c r="K1793" t="n">
        <v>0.1195057407305971</v>
      </c>
      <c r="L1793" t="b">
        <v>0</v>
      </c>
      <c r="M1793" t="b">
        <v>0</v>
      </c>
      <c r="N1793" t="inlineStr">
        <is>
          <t>ref</t>
        </is>
      </c>
      <c r="O1793" t="n">
        <v>-20</v>
      </c>
      <c r="P1793" t="n">
        <v>0.0054</v>
      </c>
      <c r="Q1793" t="n">
        <v>-100</v>
      </c>
      <c r="R1793" t="n">
        <v>0.193</v>
      </c>
      <c r="S1793">
        <f>IMAGE("https://mitra.stanford.edu/kundaje/oak/projects/neuro-variants/variant_position/credible/roussos_2024/variant_figures/roussos_2024.childhood.Astrocyte/rs62062786_count_position.png",4,220,900)</f>
        <v/>
      </c>
      <c r="T1793">
        <f>IMAGE("https://mitra.stanford.edu/kundaje/oak/projects/neuro-variants/variant_position/credible/roussos_2024/variant_figures/roussos_2024.childhood.Astrocyte/rs62062786_profile_position.png",4,220,900)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0.0326749696</v>
      </c>
      <c r="G1794" t="n">
        <v>0.1917471519011558</v>
      </c>
      <c r="H1794" t="n">
        <v>0.0175757177259628</v>
      </c>
      <c r="I1794" t="n">
        <v>0.1920103945959853</v>
      </c>
      <c r="J1794" t="n">
        <v>0.6937334462992222</v>
      </c>
      <c r="K1794" t="n">
        <v>0.0190921687980794</v>
      </c>
      <c r="L1794" t="b">
        <v>0</v>
      </c>
      <c r="M1794" t="b">
        <v>0</v>
      </c>
      <c r="N1794" t="inlineStr">
        <is>
          <t>alt</t>
        </is>
      </c>
      <c r="O1794" t="n">
        <v>60</v>
      </c>
      <c r="P1794" t="n">
        <v>0.00293</v>
      </c>
      <c r="Q1794" t="n">
        <v>60</v>
      </c>
      <c r="R1794" t="n">
        <v>0.06055</v>
      </c>
      <c r="S1794">
        <f>IMAGE("https://mitra.stanford.edu/kundaje/oak/projects/neuro-variants/variant_position/credible/roussos_2024/variant_figures/roussos_2024.childhood.Astrocyte/rs242561_count_position.png",4,220,900)</f>
        <v/>
      </c>
      <c r="T1794">
        <f>IMAGE("https://mitra.stanford.edu/kundaje/oak/projects/neuro-variants/variant_position/credible/roussos_2024/variant_figures/roussos_2024.childhood.Astrocyte/rs242561_profile_position.png",4,220,900)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-0.0753619604</v>
      </c>
      <c r="G1795" t="n">
        <v>0.140649182755946</v>
      </c>
      <c r="H1795" t="n">
        <v>0.0120714333812541</v>
      </c>
      <c r="I1795" t="n">
        <v>0.494835538106695</v>
      </c>
      <c r="J1795" t="n">
        <v>0.3911970567806248</v>
      </c>
      <c r="K1795" t="n">
        <v>0.0901463810061784</v>
      </c>
      <c r="L1795" t="b">
        <v>0</v>
      </c>
      <c r="M1795" t="b">
        <v>0</v>
      </c>
      <c r="N1795" t="inlineStr">
        <is>
          <t>ref</t>
        </is>
      </c>
      <c r="O1795" t="n">
        <v>60</v>
      </c>
      <c r="P1795" t="n">
        <v>0.007126</v>
      </c>
      <c r="Q1795" t="n">
        <v>-100</v>
      </c>
      <c r="R1795" t="n">
        <v>0.1869</v>
      </c>
      <c r="S1795">
        <f>IMAGE("https://mitra.stanford.edu/kundaje/oak/projects/neuro-variants/variant_position/credible/roussos_2024/variant_figures/roussos_2024.childhood.Astrocyte/rs62062795_count_position.png",4,220,900)</f>
        <v/>
      </c>
      <c r="T1795">
        <f>IMAGE("https://mitra.stanford.edu/kundaje/oak/projects/neuro-variants/variant_position/credible/roussos_2024/variant_figures/roussos_2024.childhood.Astrocyte/rs62062795_profile_position.png",4,220,900)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0.06853481603</v>
      </c>
      <c r="G1796" t="n">
        <v>0.1545456130337312</v>
      </c>
      <c r="H1796" t="n">
        <v>0.015134240630416</v>
      </c>
      <c r="I1796" t="n">
        <v>0.2887026297718699</v>
      </c>
      <c r="J1796" t="n">
        <v>0.142892690038393</v>
      </c>
      <c r="K1796" t="n">
        <v>0.2597305606609718</v>
      </c>
      <c r="L1796" t="b">
        <v>0</v>
      </c>
      <c r="M1796" t="b">
        <v>0</v>
      </c>
      <c r="N1796" t="inlineStr">
        <is>
          <t>alt</t>
        </is>
      </c>
      <c r="O1796" t="n">
        <v>90</v>
      </c>
      <c r="P1796" t="n">
        <v>0.005737</v>
      </c>
      <c r="Q1796" t="n">
        <v>30</v>
      </c>
      <c r="R1796" t="n">
        <v>0.02509</v>
      </c>
      <c r="S1796">
        <f>IMAGE("https://mitra.stanford.edu/kundaje/oak/projects/neuro-variants/variant_position/credible/roussos_2024/variant_figures/roussos_2024.childhood.Astrocyte/rs62062798_count_position.png",4,220,900)</f>
        <v/>
      </c>
      <c r="T1796">
        <f>IMAGE("https://mitra.stanford.edu/kundaje/oak/projects/neuro-variants/variant_position/credible/roussos_2024/variant_figures/roussos_2024.childhood.Astrocyte/rs62062798_profile_position.png",4,220,900)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-0.01050724004</v>
      </c>
      <c r="G1797" t="n">
        <v>0.7196006044986906</v>
      </c>
      <c r="H1797" t="n">
        <v>0.0433944832526944</v>
      </c>
      <c r="I1797" t="n">
        <v>0.0070059018784977</v>
      </c>
      <c r="J1797" t="n">
        <v>0.0478486867715416</v>
      </c>
      <c r="K1797" t="n">
        <v>0.4542323788960349</v>
      </c>
      <c r="L1797" t="b">
        <v>1</v>
      </c>
      <c r="M1797" t="b">
        <v>0</v>
      </c>
      <c r="N1797" t="inlineStr">
        <is>
          <t>ref</t>
        </is>
      </c>
      <c r="O1797" t="n">
        <v>70</v>
      </c>
      <c r="P1797" t="n">
        <v>0.003967</v>
      </c>
      <c r="Q1797" t="n">
        <v>-70</v>
      </c>
      <c r="R1797" t="n">
        <v>0.03745</v>
      </c>
      <c r="S1797">
        <f>IMAGE("https://mitra.stanford.edu/kundaje/oak/projects/neuro-variants/variant_position/credible/roussos_2024/variant_figures/roussos_2024.childhood.Astrocyte/rs62062801_count_position.png",4,220,900)</f>
        <v/>
      </c>
      <c r="T1797">
        <f>IMAGE("https://mitra.stanford.edu/kundaje/oak/projects/neuro-variants/variant_position/credible/roussos_2024/variant_figures/roussos_2024.childhood.Astrocyte/rs62062801_profile_position.png",4,220,900)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0.0132622618</v>
      </c>
      <c r="G1798" t="n">
        <v>0.6384090253700074</v>
      </c>
      <c r="H1798" t="n">
        <v>0.0576496252411387</v>
      </c>
      <c r="I1798" t="n">
        <v>0.0023830252040622</v>
      </c>
      <c r="J1798" t="n">
        <v>0.0522116125880637</v>
      </c>
      <c r="K1798" t="n">
        <v>0.4393546765729638</v>
      </c>
      <c r="L1798" t="b">
        <v>1</v>
      </c>
      <c r="M1798" t="b">
        <v>1</v>
      </c>
      <c r="N1798" t="inlineStr">
        <is>
          <t>alt</t>
        </is>
      </c>
      <c r="O1798" t="n">
        <v>40</v>
      </c>
      <c r="P1798" t="n">
        <v>0.006226</v>
      </c>
      <c r="Q1798" t="n">
        <v>-100</v>
      </c>
      <c r="R1798" t="n">
        <v>0.1726</v>
      </c>
      <c r="S1798">
        <f>IMAGE("https://mitra.stanford.edu/kundaje/oak/projects/neuro-variants/variant_position/credible/roussos_2024/variant_figures/roussos_2024.childhood.Astrocyte/rs62062802_count_position.png",4,220,900)</f>
        <v/>
      </c>
      <c r="T1798">
        <f>IMAGE("https://mitra.stanford.edu/kundaje/oak/projects/neuro-variants/variant_position/credible/roussos_2024/variant_figures/roussos_2024.childhood.Astrocyte/rs62062802_profile_position.png",4,220,900)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0.1078001557999999</v>
      </c>
      <c r="G1799" t="n">
        <v>0.0823683047791637</v>
      </c>
      <c r="H1799" t="n">
        <v>0.0187627257915179</v>
      </c>
      <c r="I1799" t="n">
        <v>0.1671604761639626</v>
      </c>
      <c r="J1799" t="n">
        <v>0.1653553464160044</v>
      </c>
      <c r="K1799" t="n">
        <v>0.2441997432330479</v>
      </c>
      <c r="L1799" t="b">
        <v>0</v>
      </c>
      <c r="M1799" t="b">
        <v>0</v>
      </c>
      <c r="N1799" t="inlineStr">
        <is>
          <t>alt</t>
        </is>
      </c>
      <c r="O1799" t="n">
        <v>100</v>
      </c>
      <c r="P1799" t="n">
        <v>0.001263</v>
      </c>
      <c r="Q1799" t="n">
        <v>25</v>
      </c>
      <c r="R1799" t="n">
        <v>0.1343</v>
      </c>
      <c r="S1799">
        <f>IMAGE("https://mitra.stanford.edu/kundaje/oak/projects/neuro-variants/variant_position/credible/roussos_2024/variant_figures/roussos_2024.childhood.Astrocyte/rs62063262_count_position.png",4,220,900)</f>
        <v/>
      </c>
      <c r="T1799">
        <f>IMAGE("https://mitra.stanford.edu/kundaje/oak/projects/neuro-variants/variant_position/credible/roussos_2024/variant_figures/roussos_2024.childhood.Astrocyte/rs62063262_profile_position.png",4,220,900)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0.0662065318</v>
      </c>
      <c r="G1800" t="n">
        <v>0.1518246437219818</v>
      </c>
      <c r="H1800" t="n">
        <v>0.01444034435815</v>
      </c>
      <c r="I1800" t="n">
        <v>0.3414577214131191</v>
      </c>
      <c r="J1800" t="n">
        <v>0.0064535580438581</v>
      </c>
      <c r="K1800" t="n">
        <v>0.764294913758357</v>
      </c>
      <c r="L1800" t="b">
        <v>0</v>
      </c>
      <c r="M1800" t="b">
        <v>0</v>
      </c>
      <c r="N1800" t="inlineStr">
        <is>
          <t>alt</t>
        </is>
      </c>
      <c r="O1800" t="n">
        <v>100</v>
      </c>
      <c r="P1800" t="n">
        <v>0.002903</v>
      </c>
      <c r="Q1800" t="n">
        <v>100</v>
      </c>
      <c r="R1800" t="n">
        <v>0.06058</v>
      </c>
      <c r="S1800">
        <f>IMAGE("https://mitra.stanford.edu/kundaje/oak/projects/neuro-variants/variant_position/credible/roussos_2024/variant_figures/roussos_2024.childhood.Astrocyte/rs62063269_count_position.png",4,220,900)</f>
        <v/>
      </c>
      <c r="T1800">
        <f>IMAGE("https://mitra.stanford.edu/kundaje/oak/projects/neuro-variants/variant_position/credible/roussos_2024/variant_figures/roussos_2024.childhood.Astrocyte/rs62063269_profile_position.png",4,220,900)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0.122810035</v>
      </c>
      <c r="G1801" t="n">
        <v>0.089232056492835</v>
      </c>
      <c r="H1801" t="n">
        <v>0.0206385957482107</v>
      </c>
      <c r="I1801" t="n">
        <v>0.1151246423610567</v>
      </c>
      <c r="J1801" t="n">
        <v>0.0089021700136627</v>
      </c>
      <c r="K1801" t="n">
        <v>0.7178741247706562</v>
      </c>
      <c r="L1801" t="b">
        <v>0</v>
      </c>
      <c r="M1801" t="b">
        <v>0</v>
      </c>
      <c r="N1801" t="inlineStr">
        <is>
          <t>alt</t>
        </is>
      </c>
      <c r="O1801" t="n">
        <v>95</v>
      </c>
      <c r="P1801" t="n">
        <v>0.0081</v>
      </c>
      <c r="Q1801" t="n">
        <v>95</v>
      </c>
      <c r="R1801" t="n">
        <v>0.1351</v>
      </c>
      <c r="S1801">
        <f>IMAGE("https://mitra.stanford.edu/kundaje/oak/projects/neuro-variants/variant_position/credible/roussos_2024/variant_figures/roussos_2024.childhood.Astrocyte/rs17571809_count_position.png",4,220,900)</f>
        <v/>
      </c>
      <c r="T1801">
        <f>IMAGE("https://mitra.stanford.edu/kundaje/oak/projects/neuro-variants/variant_position/credible/roussos_2024/variant_figures/roussos_2024.childhood.Astrocyte/rs17571809_profile_position.png",4,220,900)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0.01854867106</v>
      </c>
      <c r="G1802" t="n">
        <v>0.5350439790571789</v>
      </c>
      <c r="H1802" t="n">
        <v>0.0250447085266793</v>
      </c>
      <c r="I1802" t="n">
        <v>0.058813089213777</v>
      </c>
      <c r="J1802" t="n">
        <v>0.0064886690633753</v>
      </c>
      <c r="K1802" t="n">
        <v>0.7510085156133138</v>
      </c>
      <c r="L1802" t="b">
        <v>0</v>
      </c>
      <c r="M1802" t="b">
        <v>0</v>
      </c>
      <c r="N1802" t="inlineStr">
        <is>
          <t>alt</t>
        </is>
      </c>
      <c r="O1802" t="n">
        <v>-100</v>
      </c>
      <c r="P1802" t="n">
        <v>0.003326</v>
      </c>
      <c r="Q1802" t="n">
        <v>40</v>
      </c>
      <c r="R1802" t="n">
        <v>0.08923</v>
      </c>
      <c r="S1802">
        <f>IMAGE("https://mitra.stanford.edu/kundaje/oak/projects/neuro-variants/variant_position/credible/roussos_2024/variant_figures/roussos_2024.childhood.Astrocyte/rs77555455_count_position.png",4,220,900)</f>
        <v/>
      </c>
      <c r="T1802">
        <f>IMAGE("https://mitra.stanford.edu/kundaje/oak/projects/neuro-variants/variant_position/credible/roussos_2024/variant_figures/roussos_2024.childhood.Astrocyte/rs77555455_profile_position.png",4,220,900)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-0.0652572176</v>
      </c>
      <c r="G1803" t="n">
        <v>0.1604838604907361</v>
      </c>
      <c r="H1803" t="n">
        <v>0.0135065909315499</v>
      </c>
      <c r="I1803" t="n">
        <v>0.3929460015696186</v>
      </c>
      <c r="J1803" t="n">
        <v>0.1259707051971941</v>
      </c>
      <c r="K1803" t="n">
        <v>0.2953992054405147</v>
      </c>
      <c r="L1803" t="b">
        <v>0</v>
      </c>
      <c r="M1803" t="b">
        <v>0</v>
      </c>
      <c r="N1803" t="inlineStr">
        <is>
          <t>ref</t>
        </is>
      </c>
      <c r="O1803" t="n">
        <v>50</v>
      </c>
      <c r="P1803" t="n">
        <v>0.02243</v>
      </c>
      <c r="Q1803" t="n">
        <v>45</v>
      </c>
      <c r="R1803" t="n">
        <v>0.0581</v>
      </c>
      <c r="S1803">
        <f>IMAGE("https://mitra.stanford.edu/kundaje/oak/projects/neuro-variants/variant_position/credible/roussos_2024/variant_figures/roussos_2024.childhood.Astrocyte/rs55711941_count_position.png",4,220,900)</f>
        <v/>
      </c>
      <c r="T1803">
        <f>IMAGE("https://mitra.stanford.edu/kundaje/oak/projects/neuro-variants/variant_position/credible/roussos_2024/variant_figures/roussos_2024.childhood.Astrocyte/rs55711941_profile_position.png",4,220,900)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0.0573526086</v>
      </c>
      <c r="G1804" t="n">
        <v>0.1865847086789475</v>
      </c>
      <c r="H1804" t="n">
        <v>0.0172389784408866</v>
      </c>
      <c r="I1804" t="n">
        <v>0.2058534319093275</v>
      </c>
      <c r="J1804" t="n">
        <v>0.1701663193728866</v>
      </c>
      <c r="K1804" t="n">
        <v>0.2362397406083107</v>
      </c>
      <c r="L1804" t="b">
        <v>0</v>
      </c>
      <c r="M1804" t="b">
        <v>0</v>
      </c>
      <c r="N1804" t="inlineStr">
        <is>
          <t>alt</t>
        </is>
      </c>
      <c r="O1804" t="n">
        <v>-25</v>
      </c>
      <c r="P1804" t="n">
        <v>0.00206</v>
      </c>
      <c r="Q1804" t="n">
        <v>-100</v>
      </c>
      <c r="R1804" t="n">
        <v>0.04883</v>
      </c>
      <c r="S1804">
        <f>IMAGE("https://mitra.stanford.edu/kundaje/oak/projects/neuro-variants/variant_position/credible/roussos_2024/variant_figures/roussos_2024.childhood.Astrocyte/rs55709241_count_position.png",4,220,900)</f>
        <v/>
      </c>
      <c r="T1804">
        <f>IMAGE("https://mitra.stanford.edu/kundaje/oak/projects/neuro-variants/variant_position/credible/roussos_2024/variant_figures/roussos_2024.childhood.Astrocyte/rs55709241_profile_position.png",4,220,900)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0.0260265234</v>
      </c>
      <c r="G1805" t="n">
        <v>0.4355353039178615</v>
      </c>
      <c r="H1805" t="n">
        <v>0.0561292307163157</v>
      </c>
      <c r="I1805" t="n">
        <v>0.0025913362405675</v>
      </c>
      <c r="J1805" t="n">
        <v>0.08161938128277341</v>
      </c>
      <c r="K1805" t="n">
        <v>0.3642654946303312</v>
      </c>
      <c r="L1805" t="b">
        <v>1</v>
      </c>
      <c r="M1805" t="b">
        <v>1</v>
      </c>
      <c r="N1805" t="inlineStr">
        <is>
          <t>alt</t>
        </is>
      </c>
      <c r="O1805" t="n">
        <v>-95</v>
      </c>
      <c r="P1805" t="n">
        <v>0.002533</v>
      </c>
      <c r="Q1805" t="n">
        <v>-90</v>
      </c>
      <c r="R1805" t="n">
        <v>0.1833</v>
      </c>
      <c r="S1805">
        <f>IMAGE("https://mitra.stanford.edu/kundaje/oak/projects/neuro-variants/variant_position/credible/roussos_2024/variant_figures/roussos_2024.childhood.Astrocyte/rs112058117_count_position.png",4,220,900)</f>
        <v/>
      </c>
      <c r="T1805">
        <f>IMAGE("https://mitra.stanford.edu/kundaje/oak/projects/neuro-variants/variant_position/credible/roussos_2024/variant_figures/roussos_2024.childhood.Astrocyte/rs112058117_profile_position.png",4,220,900)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-0.0708614759999999</v>
      </c>
      <c r="G1806" t="n">
        <v>0.1281896555579216</v>
      </c>
      <c r="H1806" t="n">
        <v>0.0184028115627529</v>
      </c>
      <c r="I1806" t="n">
        <v>0.1682666487335701</v>
      </c>
      <c r="J1806" t="n">
        <v>0.0774388801111339</v>
      </c>
      <c r="K1806" t="n">
        <v>0.3718976439776498</v>
      </c>
      <c r="L1806" t="b">
        <v>0</v>
      </c>
      <c r="M1806" t="b">
        <v>0</v>
      </c>
      <c r="N1806" t="inlineStr">
        <is>
          <t>ref</t>
        </is>
      </c>
      <c r="O1806" t="n">
        <v>-65</v>
      </c>
      <c r="P1806" t="n">
        <v>0.02472</v>
      </c>
      <c r="Q1806" t="n">
        <v>-85</v>
      </c>
      <c r="R1806" t="n">
        <v>0.2903</v>
      </c>
      <c r="S1806">
        <f>IMAGE("https://mitra.stanford.edu/kundaje/oak/projects/neuro-variants/variant_position/credible/roussos_2024/variant_figures/roussos_2024.childhood.Astrocyte/rs62063291_count_position.png",4,220,900)</f>
        <v/>
      </c>
      <c r="T1806">
        <f>IMAGE("https://mitra.stanford.edu/kundaje/oak/projects/neuro-variants/variant_position/credible/roussos_2024/variant_figures/roussos_2024.childhood.Astrocyte/rs62063291_profile_position.png",4,220,900)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0.053206626</v>
      </c>
      <c r="G1807" t="n">
        <v>0.2065536525648567</v>
      </c>
      <c r="H1807" t="n">
        <v>0.0161725949223639</v>
      </c>
      <c r="I1807" t="n">
        <v>0.2402233302761715</v>
      </c>
      <c r="J1807" t="n">
        <v>0.0203827101127368</v>
      </c>
      <c r="K1807" t="n">
        <v>0.5981671650475975</v>
      </c>
      <c r="L1807" t="b">
        <v>0</v>
      </c>
      <c r="M1807" t="b">
        <v>0</v>
      </c>
      <c r="N1807" t="inlineStr">
        <is>
          <t>alt</t>
        </is>
      </c>
      <c r="O1807" t="n">
        <v>25</v>
      </c>
      <c r="P1807" t="n">
        <v>0.002205</v>
      </c>
      <c r="Q1807" t="n">
        <v>-95</v>
      </c>
      <c r="R1807" t="n">
        <v>0.1035</v>
      </c>
      <c r="S1807">
        <f>IMAGE("https://mitra.stanford.edu/kundaje/oak/projects/neuro-variants/variant_position/credible/roussos_2024/variant_figures/roussos_2024.childhood.Astrocyte/rs17650991_count_position.png",4,220,900)</f>
        <v/>
      </c>
      <c r="T1807">
        <f>IMAGE("https://mitra.stanford.edu/kundaje/oak/projects/neuro-variants/variant_position/credible/roussos_2024/variant_figures/roussos_2024.childhood.Astrocyte/rs17650991_profile_position.png",4,220,900)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-0.0657968396</v>
      </c>
      <c r="G1808" t="n">
        <v>0.1506762666389305</v>
      </c>
      <c r="H1808" t="n">
        <v>0.0226264990950169</v>
      </c>
      <c r="I1808" t="n">
        <v>0.0835690088174295</v>
      </c>
      <c r="J1808" t="n">
        <v>0.287199743536901</v>
      </c>
      <c r="K1808" t="n">
        <v>0.141301359834486</v>
      </c>
      <c r="L1808" t="b">
        <v>0</v>
      </c>
      <c r="M1808" t="b">
        <v>0</v>
      </c>
      <c r="N1808" t="inlineStr">
        <is>
          <t>ref</t>
        </is>
      </c>
      <c r="O1808" t="n">
        <v>-80</v>
      </c>
      <c r="P1808" t="n">
        <v>0.003647</v>
      </c>
      <c r="Q1808" t="n">
        <v>40</v>
      </c>
      <c r="R1808" t="n">
        <v>0.1619</v>
      </c>
      <c r="S1808">
        <f>IMAGE("https://mitra.stanford.edu/kundaje/oak/projects/neuro-variants/variant_position/credible/roussos_2024/variant_figures/roussos_2024.childhood.Astrocyte/rs62063303_count_position.png",4,220,900)</f>
        <v/>
      </c>
      <c r="T1808">
        <f>IMAGE("https://mitra.stanford.edu/kundaje/oak/projects/neuro-variants/variant_position/credible/roussos_2024/variant_figures/roussos_2024.childhood.Astrocyte/rs62063303_profile_position.png",4,220,900)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-0.0575553149999999</v>
      </c>
      <c r="G1809" t="n">
        <v>0.180532232413755</v>
      </c>
      <c r="H1809" t="n">
        <v>0.0126027345409497</v>
      </c>
      <c r="I1809" t="n">
        <v>0.4636455443634903</v>
      </c>
      <c r="J1809" t="n">
        <v>0.2998786379977559</v>
      </c>
      <c r="K1809" t="n">
        <v>0.1335624337128211</v>
      </c>
      <c r="L1809" t="b">
        <v>0</v>
      </c>
      <c r="M1809" t="b">
        <v>0</v>
      </c>
      <c r="N1809" t="inlineStr">
        <is>
          <t>ref</t>
        </is>
      </c>
      <c r="O1809" t="n">
        <v>-50</v>
      </c>
      <c r="P1809" t="n">
        <v>0.03506</v>
      </c>
      <c r="Q1809" t="n">
        <v>-55</v>
      </c>
      <c r="R1809" t="n">
        <v>0.1428</v>
      </c>
      <c r="S1809">
        <f>IMAGE("https://mitra.stanford.edu/kundaje/oak/projects/neuro-variants/variant_position/credible/roussos_2024/variant_figures/roussos_2024.childhood.Astrocyte/rs75242405_count_position.png",4,220,900)</f>
        <v/>
      </c>
      <c r="T1809">
        <f>IMAGE("https://mitra.stanford.edu/kundaje/oak/projects/neuro-variants/variant_position/credible/roussos_2024/variant_figures/roussos_2024.childhood.Astrocyte/rs75242405_profile_position.png",4,220,900)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0.0301787099999999</v>
      </c>
      <c r="G1810" t="n">
        <v>0.3481237182848965</v>
      </c>
      <c r="H1810" t="n">
        <v>0.009581103631008</v>
      </c>
      <c r="I1810" t="n">
        <v>0.7421787027517597</v>
      </c>
      <c r="J1810" t="n">
        <v>0.526470655583797</v>
      </c>
      <c r="K1810" t="n">
        <v>0.0480197904800913</v>
      </c>
      <c r="L1810" t="b">
        <v>0</v>
      </c>
      <c r="M1810" t="b">
        <v>0</v>
      </c>
      <c r="N1810" t="inlineStr">
        <is>
          <t>alt</t>
        </is>
      </c>
      <c r="O1810" t="n">
        <v>85</v>
      </c>
      <c r="P1810" t="n">
        <v>0.004547</v>
      </c>
      <c r="Q1810" t="n">
        <v>80</v>
      </c>
      <c r="R1810" t="n">
        <v>0.1885</v>
      </c>
      <c r="S1810">
        <f>IMAGE("https://mitra.stanford.edu/kundaje/oak/projects/neuro-variants/variant_position/credible/roussos_2024/variant_figures/roussos_2024.childhood.Astrocyte/rs62063776_count_position.png",4,220,900)</f>
        <v/>
      </c>
      <c r="T1810">
        <f>IMAGE("https://mitra.stanford.edu/kundaje/oak/projects/neuro-variants/variant_position/credible/roussos_2024/variant_figures/roussos_2024.childhood.Astrocyte/rs62063776_profile_position.png",4,220,900)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0.1026071953999999</v>
      </c>
      <c r="G1811" t="n">
        <v>0.0615583243326118</v>
      </c>
      <c r="H1811" t="n">
        <v>0.0187212480101241</v>
      </c>
      <c r="I1811" t="n">
        <v>0.1628757722441223</v>
      </c>
      <c r="J1811" t="n">
        <v>0.2858639982291833</v>
      </c>
      <c r="K1811" t="n">
        <v>0.1432761782203382</v>
      </c>
      <c r="L1811" t="b">
        <v>0</v>
      </c>
      <c r="M1811" t="b">
        <v>0</v>
      </c>
      <c r="N1811" t="inlineStr">
        <is>
          <t>alt</t>
        </is>
      </c>
      <c r="O1811" t="n">
        <v>80</v>
      </c>
      <c r="P1811" t="n">
        <v>0.012726</v>
      </c>
      <c r="Q1811" t="n">
        <v>85</v>
      </c>
      <c r="R1811" t="n">
        <v>0.2827</v>
      </c>
      <c r="S1811">
        <f>IMAGE("https://mitra.stanford.edu/kundaje/oak/projects/neuro-variants/variant_position/credible/roussos_2024/variant_figures/roussos_2024.childhood.Astrocyte/rs17572467_count_position.png",4,220,900)</f>
        <v/>
      </c>
      <c r="T1811">
        <f>IMAGE("https://mitra.stanford.edu/kundaje/oak/projects/neuro-variants/variant_position/credible/roussos_2024/variant_figures/roussos_2024.childhood.Astrocyte/rs17572467_profile_position.png",4,220,900)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0.296157792</v>
      </c>
      <c r="G1812" t="n">
        <v>0.0056901268018783</v>
      </c>
      <c r="H1812" t="n">
        <v>0.0407162391704695</v>
      </c>
      <c r="I1812" t="n">
        <v>0.0093755769086934</v>
      </c>
      <c r="J1812" t="n">
        <v>0.3247395296649951</v>
      </c>
      <c r="K1812" t="n">
        <v>0.1209472539796976</v>
      </c>
      <c r="L1812" t="b">
        <v>1</v>
      </c>
      <c r="M1812" t="b">
        <v>1</v>
      </c>
      <c r="N1812" t="inlineStr">
        <is>
          <t>alt</t>
        </is>
      </c>
      <c r="O1812" t="n">
        <v>-100</v>
      </c>
      <c r="P1812" t="n">
        <v>0.02316</v>
      </c>
      <c r="Q1812" t="n">
        <v>-100</v>
      </c>
      <c r="R1812" t="n">
        <v>0.1929</v>
      </c>
      <c r="S1812">
        <f>IMAGE("https://mitra.stanford.edu/kundaje/oak/projects/neuro-variants/variant_position/credible/roussos_2024/variant_figures/roussos_2024.childhood.Astrocyte/rs17572495_count_position.png",4,220,900)</f>
        <v/>
      </c>
      <c r="T1812">
        <f>IMAGE("https://mitra.stanford.edu/kundaje/oak/projects/neuro-variants/variant_position/credible/roussos_2024/variant_figures/roussos_2024.childhood.Astrocyte/rs17572495_profile_position.png",4,220,900)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-0.131530297</v>
      </c>
      <c r="G1813" t="n">
        <v>0.0457819809754048</v>
      </c>
      <c r="H1813" t="n">
        <v>0.0214504302927506</v>
      </c>
      <c r="I1813" t="n">
        <v>0.1022548809572042</v>
      </c>
      <c r="J1813" t="n">
        <v>0.4648866906337539</v>
      </c>
      <c r="K1813" t="n">
        <v>0.0658458112467383</v>
      </c>
      <c r="L1813" t="b">
        <v>0</v>
      </c>
      <c r="M1813" t="b">
        <v>0</v>
      </c>
      <c r="N1813" t="inlineStr">
        <is>
          <t>ref</t>
        </is>
      </c>
      <c r="O1813" t="n">
        <v>100</v>
      </c>
      <c r="P1813" t="n">
        <v>0.007979999999999999</v>
      </c>
      <c r="Q1813" t="n">
        <v>100</v>
      </c>
      <c r="R1813" t="n">
        <v>0.2</v>
      </c>
      <c r="S1813">
        <f>IMAGE("https://mitra.stanford.edu/kundaje/oak/projects/neuro-variants/variant_position/credible/roussos_2024/variant_figures/roussos_2024.childhood.Astrocyte/rs56234850_count_position.png",4,220,900)</f>
        <v/>
      </c>
      <c r="T1813">
        <f>IMAGE("https://mitra.stanford.edu/kundaje/oak/projects/neuro-variants/variant_position/credible/roussos_2024/variant_figures/roussos_2024.childhood.Astrocyte/rs56234850_profile_position.png",4,220,900)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0.0434861564599999</v>
      </c>
      <c r="G1814" t="n">
        <v>0.2660804834585619</v>
      </c>
      <c r="H1814" t="n">
        <v>0.0341014889833901</v>
      </c>
      <c r="I1814" t="n">
        <v>0.0187891727865069</v>
      </c>
      <c r="J1814" t="n">
        <v>0.2230297756711166</v>
      </c>
      <c r="K1814" t="n">
        <v>0.1838549520647809</v>
      </c>
      <c r="L1814" t="b">
        <v>1</v>
      </c>
      <c r="M1814" t="b">
        <v>0</v>
      </c>
      <c r="N1814" t="inlineStr">
        <is>
          <t>alt</t>
        </is>
      </c>
      <c r="O1814" t="n">
        <v>-100</v>
      </c>
      <c r="P1814" t="n">
        <v>0.002724</v>
      </c>
      <c r="Q1814" t="n">
        <v>85</v>
      </c>
      <c r="R1814" t="n">
        <v>0.117</v>
      </c>
      <c r="S1814">
        <f>IMAGE("https://mitra.stanford.edu/kundaje/oak/projects/neuro-variants/variant_position/credible/roussos_2024/variant_figures/roussos_2024.childhood.Astrocyte/rs10445371_count_position.png",4,220,900)</f>
        <v/>
      </c>
      <c r="T1814">
        <f>IMAGE("https://mitra.stanford.edu/kundaje/oak/projects/neuro-variants/variant_position/credible/roussos_2024/variant_figures/roussos_2024.childhood.Astrocyte/rs10445371_profile_position.png",4,220,900)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-0.327596584</v>
      </c>
      <c r="G1815" t="n">
        <v>0.0050470568736974</v>
      </c>
      <c r="H1815" t="n">
        <v>0.0457465333652616</v>
      </c>
      <c r="I1815" t="n">
        <v>0.007755891147507</v>
      </c>
      <c r="J1815" t="n">
        <v>0.1052170395304282</v>
      </c>
      <c r="K1815" t="n">
        <v>0.3210612766686719</v>
      </c>
      <c r="L1815" t="b">
        <v>1</v>
      </c>
      <c r="M1815" t="b">
        <v>1</v>
      </c>
      <c r="N1815" t="inlineStr">
        <is>
          <t>ref</t>
        </is>
      </c>
      <c r="O1815" t="n">
        <v>100</v>
      </c>
      <c r="P1815" t="n">
        <v>0.01521</v>
      </c>
      <c r="Q1815" t="n">
        <v>-40</v>
      </c>
      <c r="R1815" t="n">
        <v>0.0919</v>
      </c>
      <c r="S1815">
        <f>IMAGE("https://mitra.stanford.edu/kundaje/oak/projects/neuro-variants/variant_position/credible/roussos_2024/variant_figures/roussos_2024.childhood.Astrocyte/rs919464_count_position.png",4,220,900)</f>
        <v/>
      </c>
      <c r="T1815">
        <f>IMAGE("https://mitra.stanford.edu/kundaje/oak/projects/neuro-variants/variant_position/credible/roussos_2024/variant_figures/roussos_2024.childhood.Astrocyte/rs919464_profile_position.png",4,220,900)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0.006376672194</v>
      </c>
      <c r="G1816" t="n">
        <v>0.7646375365349782</v>
      </c>
      <c r="H1816" t="n">
        <v>0.0075942167023847</v>
      </c>
      <c r="I1816" t="n">
        <v>0.9287929087474204</v>
      </c>
      <c r="J1816" t="n">
        <v>0.113008632731103</v>
      </c>
      <c r="K1816" t="n">
        <v>0.3043983602542925</v>
      </c>
      <c r="L1816" t="b">
        <v>0</v>
      </c>
      <c r="M1816" t="b">
        <v>0</v>
      </c>
      <c r="N1816" t="inlineStr">
        <is>
          <t>alt</t>
        </is>
      </c>
      <c r="O1816" t="n">
        <v>70</v>
      </c>
      <c r="P1816" t="n">
        <v>0.01608</v>
      </c>
      <c r="Q1816" t="n">
        <v>70</v>
      </c>
      <c r="R1816" t="n">
        <v>0.2754</v>
      </c>
      <c r="S1816">
        <f>IMAGE("https://mitra.stanford.edu/kundaje/oak/projects/neuro-variants/variant_position/credible/roussos_2024/variant_figures/roussos_2024.childhood.Astrocyte/rs10445337_count_position.png",4,220,900)</f>
        <v/>
      </c>
      <c r="T1816">
        <f>IMAGE("https://mitra.stanford.edu/kundaje/oak/projects/neuro-variants/variant_position/credible/roussos_2024/variant_figures/roussos_2024.childhood.Astrocyte/rs10445337_profile_position.png",4,220,900)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-0.189017154</v>
      </c>
      <c r="G1817" t="n">
        <v>0.0190958622886546</v>
      </c>
      <c r="H1817" t="n">
        <v>0.0412726503205057</v>
      </c>
      <c r="I1817" t="n">
        <v>0.0088930000126536</v>
      </c>
      <c r="J1817" t="n">
        <v>0.1894346362574705</v>
      </c>
      <c r="K1817" t="n">
        <v>0.2164517906156711</v>
      </c>
      <c r="L1817" t="b">
        <v>1</v>
      </c>
      <c r="M1817" t="b">
        <v>1</v>
      </c>
      <c r="N1817" t="inlineStr">
        <is>
          <t>ref</t>
        </is>
      </c>
      <c r="O1817" t="n">
        <v>100</v>
      </c>
      <c r="P1817" t="n">
        <v>0.01288</v>
      </c>
      <c r="Q1817" t="n">
        <v>40</v>
      </c>
      <c r="R1817" t="n">
        <v>0.02011</v>
      </c>
      <c r="S1817">
        <f>IMAGE("https://mitra.stanford.edu/kundaje/oak/projects/neuro-variants/variant_position/credible/roussos_2024/variant_figures/roussos_2024.childhood.Astrocyte/rs62063796_count_position.png",4,220,900)</f>
        <v/>
      </c>
      <c r="T1817">
        <f>IMAGE("https://mitra.stanford.edu/kundaje/oak/projects/neuro-variants/variant_position/credible/roussos_2024/variant_figures/roussos_2024.childhood.Astrocyte/rs62063796_profile_position.png",4,220,900)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0.122750863</v>
      </c>
      <c r="G1818" t="n">
        <v>0.0518845653715257</v>
      </c>
      <c r="H1818" t="n">
        <v>0.0212026761712956</v>
      </c>
      <c r="I1818" t="n">
        <v>0.1115187942075837</v>
      </c>
      <c r="J1818" t="n">
        <v>0.2356170761680138</v>
      </c>
      <c r="K1818" t="n">
        <v>0.1779497861032955</v>
      </c>
      <c r="L1818" t="b">
        <v>0</v>
      </c>
      <c r="M1818" t="b">
        <v>0</v>
      </c>
      <c r="N1818" t="inlineStr">
        <is>
          <t>alt</t>
        </is>
      </c>
      <c r="O1818" t="n">
        <v>-80</v>
      </c>
      <c r="P1818" t="n">
        <v>0.003687</v>
      </c>
      <c r="Q1818" t="n">
        <v>-100</v>
      </c>
      <c r="R1818" t="n">
        <v>0.08452999999999999</v>
      </c>
      <c r="S1818">
        <f>IMAGE("https://mitra.stanford.edu/kundaje/oak/projects/neuro-variants/variant_position/credible/roussos_2024/variant_figures/roussos_2024.childhood.Astrocyte/rs77290642_count_position.png",4,220,900)</f>
        <v/>
      </c>
      <c r="T1818">
        <f>IMAGE("https://mitra.stanford.edu/kundaje/oak/projects/neuro-variants/variant_position/credible/roussos_2024/variant_figures/roussos_2024.childhood.Astrocyte/rs77290642_profile_position.png",4,220,900)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-0.0733786416</v>
      </c>
      <c r="G1819" t="n">
        <v>0.120626595816559</v>
      </c>
      <c r="H1819" t="n">
        <v>0.0145145463450568</v>
      </c>
      <c r="I1819" t="n">
        <v>0.331123684820857</v>
      </c>
      <c r="J1819" t="n">
        <v>0.3515941166143818</v>
      </c>
      <c r="K1819" t="n">
        <v>0.1071304999546001</v>
      </c>
      <c r="L1819" t="b">
        <v>0</v>
      </c>
      <c r="M1819" t="b">
        <v>0</v>
      </c>
      <c r="N1819" t="inlineStr">
        <is>
          <t>ref</t>
        </is>
      </c>
      <c r="O1819" t="n">
        <v>100</v>
      </c>
      <c r="P1819" t="n">
        <v>0.02803</v>
      </c>
      <c r="Q1819" t="n">
        <v>60</v>
      </c>
      <c r="R1819" t="n">
        <v>0.165</v>
      </c>
      <c r="S1819">
        <f>IMAGE("https://mitra.stanford.edu/kundaje/oak/projects/neuro-variants/variant_position/credible/roussos_2024/variant_figures/roussos_2024.childhood.Astrocyte/rs1052551_count_position.png",4,220,900)</f>
        <v/>
      </c>
      <c r="T1819">
        <f>IMAGE("https://mitra.stanford.edu/kundaje/oak/projects/neuro-variants/variant_position/credible/roussos_2024/variant_figures/roussos_2024.childhood.Astrocyte/rs1052551_profile_position.png",4,220,900)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-0.28155143</v>
      </c>
      <c r="G1820" t="n">
        <v>0.0071460249395465</v>
      </c>
      <c r="H1820" t="n">
        <v>0.031353694425385</v>
      </c>
      <c r="I1820" t="n">
        <v>0.0254392718030839</v>
      </c>
      <c r="J1820" t="n">
        <v>0.7113515452665002</v>
      </c>
      <c r="K1820" t="n">
        <v>0.0160540901097026</v>
      </c>
      <c r="L1820" t="b">
        <v>1</v>
      </c>
      <c r="M1820" t="b">
        <v>1</v>
      </c>
      <c r="N1820" t="inlineStr">
        <is>
          <t>ref</t>
        </is>
      </c>
      <c r="O1820" t="n">
        <v>-100</v>
      </c>
      <c r="P1820" t="n">
        <v>0.06042</v>
      </c>
      <c r="Q1820" t="n">
        <v>-25</v>
      </c>
      <c r="R1820" t="n">
        <v>0.3354</v>
      </c>
      <c r="S1820">
        <f>IMAGE("https://mitra.stanford.edu/kundaje/oak/projects/neuro-variants/variant_position/credible/roussos_2024/variant_figures/roussos_2024.childhood.Astrocyte/rs74759276_count_position.png",4,220,900)</f>
        <v/>
      </c>
      <c r="T1820">
        <f>IMAGE("https://mitra.stanford.edu/kundaje/oak/projects/neuro-variants/variant_position/credible/roussos_2024/variant_figures/roussos_2024.childhood.Astrocyte/rs74759276_profile_position.png",4,220,900)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0.2219584959999999</v>
      </c>
      <c r="G1821" t="n">
        <v>0.0155131825959747</v>
      </c>
      <c r="H1821" t="n">
        <v>0.0234171544079847</v>
      </c>
      <c r="I1821" t="n">
        <v>0.0766735321259341</v>
      </c>
      <c r="J1821" t="n">
        <v>0.733511178280018</v>
      </c>
      <c r="K1821" t="n">
        <v>0.0135276000417675</v>
      </c>
      <c r="L1821" t="b">
        <v>1</v>
      </c>
      <c r="M1821" t="b">
        <v>0</v>
      </c>
      <c r="N1821" t="inlineStr">
        <is>
          <t>alt</t>
        </is>
      </c>
      <c r="O1821" t="n">
        <v>-100</v>
      </c>
      <c r="P1821" t="n">
        <v>0.04095</v>
      </c>
      <c r="Q1821" t="n">
        <v>-95</v>
      </c>
      <c r="R1821" t="n">
        <v>0.3433</v>
      </c>
      <c r="S1821">
        <f>IMAGE("https://mitra.stanford.edu/kundaje/oak/projects/neuro-variants/variant_position/credible/roussos_2024/variant_figures/roussos_2024.childhood.Astrocyte/rs17651887_count_position.png",4,220,900)</f>
        <v/>
      </c>
      <c r="T1821">
        <f>IMAGE("https://mitra.stanford.edu/kundaje/oak/projects/neuro-variants/variant_position/credible/roussos_2024/variant_figures/roussos_2024.childhood.Astrocyte/rs17651887_profile_position.png",4,220,900)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-0.0185538502</v>
      </c>
      <c r="G1822" t="n">
        <v>0.5495539533721695</v>
      </c>
      <c r="H1822" t="n">
        <v>0.0336986505926555</v>
      </c>
      <c r="I1822" t="n">
        <v>0.0192085211917661</v>
      </c>
      <c r="J1822" t="n">
        <v>0.1648103623304557</v>
      </c>
      <c r="K1822" t="n">
        <v>0.2507699418313555</v>
      </c>
      <c r="L1822" t="b">
        <v>1</v>
      </c>
      <c r="M1822" t="b">
        <v>0</v>
      </c>
      <c r="N1822" t="inlineStr">
        <is>
          <t>ref</t>
        </is>
      </c>
      <c r="O1822" t="n">
        <v>-85</v>
      </c>
      <c r="P1822" t="n">
        <v>0.03687</v>
      </c>
      <c r="Q1822" t="n">
        <v>-100</v>
      </c>
      <c r="R1822" t="n">
        <v>0.1915</v>
      </c>
      <c r="S1822">
        <f>IMAGE("https://mitra.stanford.edu/kundaje/oak/projects/neuro-variants/variant_position/credible/roussos_2024/variant_figures/roussos_2024.childhood.Astrocyte/rs55913645_count_position.png",4,220,900)</f>
        <v/>
      </c>
      <c r="T1822">
        <f>IMAGE("https://mitra.stanford.edu/kundaje/oak/projects/neuro-variants/variant_position/credible/roussos_2024/variant_figures/roussos_2024.childhood.Astrocyte/rs55913645_profile_position.png",4,220,900)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0.02217865754</v>
      </c>
      <c r="G1823" t="n">
        <v>0.4928171160644584</v>
      </c>
      <c r="H1823" t="n">
        <v>0.0107067675527751</v>
      </c>
      <c r="I1823" t="n">
        <v>0.6449523895098334</v>
      </c>
      <c r="J1823" t="n">
        <v>0.2964431010663063</v>
      </c>
      <c r="K1823" t="n">
        <v>0.1346957189250326</v>
      </c>
      <c r="L1823" t="b">
        <v>0</v>
      </c>
      <c r="M1823" t="b">
        <v>0</v>
      </c>
      <c r="N1823" t="inlineStr">
        <is>
          <t>alt</t>
        </is>
      </c>
      <c r="O1823" t="n">
        <v>0</v>
      </c>
      <c r="P1823" t="n">
        <v>0</v>
      </c>
      <c r="Q1823" t="n">
        <v>60</v>
      </c>
      <c r="R1823" t="n">
        <v>0.07153</v>
      </c>
      <c r="S1823">
        <f>IMAGE("https://mitra.stanford.edu/kundaje/oak/projects/neuro-variants/variant_position/credible/roussos_2024/variant_figures/roussos_2024.childhood.Astrocyte/rs62063849_count_position.png",4,220,900)</f>
        <v/>
      </c>
      <c r="T1823">
        <f>IMAGE("https://mitra.stanford.edu/kundaje/oak/projects/neuro-variants/variant_position/credible/roussos_2024/variant_figures/roussos_2024.childhood.Astrocyte/rs62063849_profile_position.png",4,220,900)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-0.0345395671</v>
      </c>
      <c r="G1824" t="n">
        <v>0.3388497722776778</v>
      </c>
      <c r="H1824" t="n">
        <v>0.0177213728236012</v>
      </c>
      <c r="I1824" t="n">
        <v>0.1920702502425687</v>
      </c>
      <c r="J1824" t="n">
        <v>0.1952050559868104</v>
      </c>
      <c r="K1824" t="n">
        <v>0.2084348873842838</v>
      </c>
      <c r="L1824" t="b">
        <v>0</v>
      </c>
      <c r="M1824" t="b">
        <v>0</v>
      </c>
      <c r="N1824" t="inlineStr">
        <is>
          <t>ref</t>
        </is>
      </c>
      <c r="O1824" t="n">
        <v>-40</v>
      </c>
      <c r="P1824" t="n">
        <v>0.004295</v>
      </c>
      <c r="Q1824" t="n">
        <v>-70</v>
      </c>
      <c r="R1824" t="n">
        <v>0.1156</v>
      </c>
      <c r="S1824">
        <f>IMAGE("https://mitra.stanford.edu/kundaje/oak/projects/neuro-variants/variant_position/credible/roussos_2024/variant_figures/roussos_2024.childhood.Astrocyte/rs62063851_count_position.png",4,220,900)</f>
        <v/>
      </c>
      <c r="T1824">
        <f>IMAGE("https://mitra.stanford.edu/kundaje/oak/projects/neuro-variants/variant_position/credible/roussos_2024/variant_figures/roussos_2024.childhood.Astrocyte/rs62063851_profile_position.png",4,220,900)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0.009283192859999999</v>
      </c>
      <c r="G1825" t="n">
        <v>0.6887517025912113</v>
      </c>
      <c r="H1825" t="n">
        <v>0.0137461204262739</v>
      </c>
      <c r="I1825" t="n">
        <v>0.3734876191225452</v>
      </c>
      <c r="J1825" t="n">
        <v>0.244666559807042</v>
      </c>
      <c r="K1825" t="n">
        <v>0.1658773881854805</v>
      </c>
      <c r="L1825" t="b">
        <v>0</v>
      </c>
      <c r="M1825" t="b">
        <v>0</v>
      </c>
      <c r="N1825" t="inlineStr">
        <is>
          <t>alt</t>
        </is>
      </c>
      <c r="O1825" t="n">
        <v>-35</v>
      </c>
      <c r="P1825" t="n">
        <v>0.00351</v>
      </c>
      <c r="Q1825" t="n">
        <v>100</v>
      </c>
      <c r="R1825" t="n">
        <v>0.1106</v>
      </c>
      <c r="S1825">
        <f>IMAGE("https://mitra.stanford.edu/kundaje/oak/projects/neuro-variants/variant_position/credible/roussos_2024/variant_figures/roussos_2024.childhood.Astrocyte/rs2004673_count_position.png",4,220,900)</f>
        <v/>
      </c>
      <c r="T1825">
        <f>IMAGE("https://mitra.stanford.edu/kundaje/oak/projects/neuro-variants/variant_position/credible/roussos_2024/variant_figures/roussos_2024.childhood.Astrocyte/rs2004673_profile_position.png",4,220,900)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0.0499723641999999</v>
      </c>
      <c r="G1826" t="n">
        <v>0.2102272541645822</v>
      </c>
      <c r="H1826" t="n">
        <v>0.0258063420474154</v>
      </c>
      <c r="I1826" t="n">
        <v>0.0603307235782537</v>
      </c>
      <c r="J1826" t="n">
        <v>0.2369024447955546</v>
      </c>
      <c r="K1826" t="n">
        <v>0.1722234933473538</v>
      </c>
      <c r="L1826" t="b">
        <v>0</v>
      </c>
      <c r="M1826" t="b">
        <v>0</v>
      </c>
      <c r="N1826" t="inlineStr">
        <is>
          <t>alt</t>
        </is>
      </c>
      <c r="O1826" t="n">
        <v>95</v>
      </c>
      <c r="P1826" t="n">
        <v>0.005013</v>
      </c>
      <c r="Q1826" t="n">
        <v>-100</v>
      </c>
      <c r="R1826" t="n">
        <v>0.02722</v>
      </c>
      <c r="S1826">
        <f>IMAGE("https://mitra.stanford.edu/kundaje/oak/projects/neuro-variants/variant_position/credible/roussos_2024/variant_figures/roussos_2024.childhood.Astrocyte/rs1078269_count_position.png",4,220,900)</f>
        <v/>
      </c>
      <c r="T1826">
        <f>IMAGE("https://mitra.stanford.edu/kundaje/oak/projects/neuro-variants/variant_position/credible/roussos_2024/variant_figures/roussos_2024.childhood.Astrocyte/rs1078269_profile_position.png",4,220,900)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0.0155223013999999</v>
      </c>
      <c r="G1827" t="n">
        <v>0.5703711389316941</v>
      </c>
      <c r="H1827" t="n">
        <v>0.0299559139763692</v>
      </c>
      <c r="I1827" t="n">
        <v>0.0302954165458716</v>
      </c>
      <c r="J1827" t="n">
        <v>0.1851556715745765</v>
      </c>
      <c r="K1827" t="n">
        <v>0.215105175102609</v>
      </c>
      <c r="L1827" t="b">
        <v>0</v>
      </c>
      <c r="M1827" t="b">
        <v>0</v>
      </c>
      <c r="N1827" t="inlineStr">
        <is>
          <t>alt</t>
        </is>
      </c>
      <c r="O1827" t="n">
        <v>-60</v>
      </c>
      <c r="P1827" t="n">
        <v>0.03528</v>
      </c>
      <c r="Q1827" t="n">
        <v>-65</v>
      </c>
      <c r="R1827" t="n">
        <v>0.08434999999999999</v>
      </c>
      <c r="S1827">
        <f>IMAGE("https://mitra.stanford.edu/kundaje/oak/projects/neuro-variants/variant_position/credible/roussos_2024/variant_figures/roussos_2024.childhood.Astrocyte/rs62064660_count_position.png",4,220,900)</f>
        <v/>
      </c>
      <c r="T1827">
        <f>IMAGE("https://mitra.stanford.edu/kundaje/oak/projects/neuro-variants/variant_position/credible/roussos_2024/variant_figures/roussos_2024.childhood.Astrocyte/rs62064660_profile_position.png",4,220,900)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0.0063067423999999</v>
      </c>
      <c r="G1828" t="n">
        <v>0.0673068637434233</v>
      </c>
      <c r="H1828" t="n">
        <v>0.0153655993654624</v>
      </c>
      <c r="I1828" t="n">
        <v>0.2872288903273162</v>
      </c>
      <c r="J1828" t="n">
        <v>0.7841107371024248</v>
      </c>
      <c r="K1828" t="n">
        <v>0.009232804162306501</v>
      </c>
      <c r="L1828" t="b">
        <v>0</v>
      </c>
      <c r="M1828" t="b">
        <v>0</v>
      </c>
      <c r="N1828" t="inlineStr">
        <is>
          <t>alt</t>
        </is>
      </c>
      <c r="O1828" t="n">
        <v>60</v>
      </c>
      <c r="P1828" t="n">
        <v>0.00293</v>
      </c>
      <c r="Q1828" t="n">
        <v>35</v>
      </c>
      <c r="R1828" t="n">
        <v>0.01172</v>
      </c>
      <c r="S1828">
        <f>IMAGE("https://mitra.stanford.edu/kundaje/oak/projects/neuro-variants/variant_position/credible/roussos_2024/variant_figures/roussos_2024.childhood.Astrocyte/rs62064665_count_position.png",4,220,900)</f>
        <v/>
      </c>
      <c r="T1828">
        <f>IMAGE("https://mitra.stanford.edu/kundaje/oak/projects/neuro-variants/variant_position/credible/roussos_2024/variant_figures/roussos_2024.childhood.Astrocyte/rs62064665_profile_position.png",4,220,900)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0.255308798012</v>
      </c>
      <c r="G1829" t="n">
        <v>0.021977465077116</v>
      </c>
      <c r="H1829" t="n">
        <v>0.0367179975755015</v>
      </c>
      <c r="I1829" t="n">
        <v>0.026226541768686</v>
      </c>
      <c r="J1829" t="n">
        <v>0.1414447421248272</v>
      </c>
      <c r="K1829" t="n">
        <v>0.2617798688836839</v>
      </c>
      <c r="L1829" t="b">
        <v>0</v>
      </c>
      <c r="M1829" t="b">
        <v>0</v>
      </c>
      <c r="N1829" t="inlineStr">
        <is>
          <t>alt</t>
        </is>
      </c>
      <c r="O1829" t="n">
        <v>-5</v>
      </c>
      <c r="P1829" t="n">
        <v>0.0004501</v>
      </c>
      <c r="Q1829" t="n">
        <v>70</v>
      </c>
      <c r="R1829" t="n">
        <v>0.1332</v>
      </c>
      <c r="S1829">
        <f>IMAGE("https://mitra.stanford.edu/kundaje/oak/projects/neuro-variants/variant_position/credible/roussos_2024/variant_figures/roussos_2024.childhood.Astrocyte/rs17573593_count_position.png",4,220,900)</f>
        <v/>
      </c>
      <c r="T1829">
        <f>IMAGE("https://mitra.stanford.edu/kundaje/oak/projects/neuro-variants/variant_position/credible/roussos_2024/variant_figures/roussos_2024.childhood.Astrocyte/rs17573593_profile_position.png",4,220,900)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-0.0335878988</v>
      </c>
      <c r="G1830" t="n">
        <v>0.3475383255983765</v>
      </c>
      <c r="H1830" t="n">
        <v>0.0117384648101498</v>
      </c>
      <c r="I1830" t="n">
        <v>0.5290756845459564</v>
      </c>
      <c r="J1830" t="n">
        <v>0.2150870524299114</v>
      </c>
      <c r="K1830" t="n">
        <v>0.1883956801084532</v>
      </c>
      <c r="L1830" t="b">
        <v>0</v>
      </c>
      <c r="M1830" t="b">
        <v>0</v>
      </c>
      <c r="N1830" t="inlineStr">
        <is>
          <t>ref</t>
        </is>
      </c>
      <c r="O1830" t="n">
        <v>-40</v>
      </c>
      <c r="P1830" t="n">
        <v>0.005974</v>
      </c>
      <c r="Q1830" t="n">
        <v>100</v>
      </c>
      <c r="R1830" t="n">
        <v>0.4653</v>
      </c>
      <c r="S1830">
        <f>IMAGE("https://mitra.stanford.edu/kundaje/oak/projects/neuro-variants/variant_position/credible/roussos_2024/variant_figures/roussos_2024.childhood.Astrocyte/rs17652337_count_position.png",4,220,900)</f>
        <v/>
      </c>
      <c r="T1830">
        <f>IMAGE("https://mitra.stanford.edu/kundaje/oak/projects/neuro-variants/variant_position/credible/roussos_2024/variant_figures/roussos_2024.childhood.Astrocyte/rs17652337_profile_position.png",4,220,900)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-0.01359070334</v>
      </c>
      <c r="G1831" t="n">
        <v>0.6630740806722371</v>
      </c>
      <c r="H1831" t="n">
        <v>0.0303275271104477</v>
      </c>
      <c r="I1831" t="n">
        <v>0.0283750909034445</v>
      </c>
      <c r="J1831" t="n">
        <v>0.0373321731431231</v>
      </c>
      <c r="K1831" t="n">
        <v>0.4932197947271595</v>
      </c>
      <c r="L1831" t="b">
        <v>0</v>
      </c>
      <c r="M1831" t="b">
        <v>0</v>
      </c>
      <c r="N1831" t="inlineStr">
        <is>
          <t>ref</t>
        </is>
      </c>
      <c r="O1831" t="n">
        <v>-100</v>
      </c>
      <c r="P1831" t="n">
        <v>0.4766</v>
      </c>
      <c r="Q1831" t="n">
        <v>100</v>
      </c>
      <c r="R1831" t="n">
        <v>0.06213</v>
      </c>
      <c r="S1831">
        <f>IMAGE("https://mitra.stanford.edu/kundaje/oak/projects/neuro-variants/variant_position/credible/roussos_2024/variant_figures/roussos_2024.childhood.Astrocyte/rs74829364_count_position.png",4,220,900)</f>
        <v/>
      </c>
      <c r="T1831">
        <f>IMAGE("https://mitra.stanford.edu/kundaje/oak/projects/neuro-variants/variant_position/credible/roussos_2024/variant_figures/roussos_2024.childhood.Astrocyte/rs74829364_profile_position.png",4,220,900)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-0.00357362262</v>
      </c>
      <c r="G1832" t="n">
        <v>0.6010683254643181</v>
      </c>
      <c r="H1832" t="n">
        <v>0.009055124371312701</v>
      </c>
      <c r="I1832" t="n">
        <v>0.8157686830190028</v>
      </c>
      <c r="J1832" t="n">
        <v>0.2146008411379023</v>
      </c>
      <c r="K1832" t="n">
        <v>0.1901450785448905</v>
      </c>
      <c r="L1832" t="b">
        <v>0</v>
      </c>
      <c r="M1832" t="b">
        <v>0</v>
      </c>
      <c r="N1832" t="inlineStr">
        <is>
          <t>ref</t>
        </is>
      </c>
      <c r="O1832" t="n">
        <v>100</v>
      </c>
      <c r="P1832" t="n">
        <v>0.0092</v>
      </c>
      <c r="Q1832" t="n">
        <v>95</v>
      </c>
      <c r="R1832" t="n">
        <v>0.185</v>
      </c>
      <c r="S1832">
        <f>IMAGE("https://mitra.stanford.edu/kundaje/oak/projects/neuro-variants/variant_position/credible/roussos_2024/variant_figures/roussos_2024.childhood.Astrocyte/rs62064672_count_position.png",4,220,900)</f>
        <v/>
      </c>
      <c r="T1832">
        <f>IMAGE("https://mitra.stanford.edu/kundaje/oak/projects/neuro-variants/variant_position/credible/roussos_2024/variant_figures/roussos_2024.childhood.Astrocyte/rs62064672_profile_position.png",4,220,900)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0.0107644216399999</v>
      </c>
      <c r="G1833" t="n">
        <v>0.6970083898929741</v>
      </c>
      <c r="H1833" t="n">
        <v>0.0228122667729102</v>
      </c>
      <c r="I1833" t="n">
        <v>0.0803129541387748</v>
      </c>
      <c r="J1833" t="n">
        <v>0.1952485631196903</v>
      </c>
      <c r="K1833" t="n">
        <v>0.2112432112398981</v>
      </c>
      <c r="L1833" t="b">
        <v>0</v>
      </c>
      <c r="M1833" t="b">
        <v>0</v>
      </c>
      <c r="N1833" t="inlineStr">
        <is>
          <t>alt</t>
        </is>
      </c>
      <c r="O1833" t="n">
        <v>75</v>
      </c>
      <c r="P1833" t="n">
        <v>0.00563</v>
      </c>
      <c r="Q1833" t="n">
        <v>100</v>
      </c>
      <c r="R1833" t="n">
        <v>0.09753000000000001</v>
      </c>
      <c r="S1833">
        <f>IMAGE("https://mitra.stanford.edu/kundaje/oak/projects/neuro-variants/variant_position/credible/roussos_2024/variant_figures/roussos_2024.childhood.Astrocyte/rs62064674_count_position.png",4,220,900)</f>
        <v/>
      </c>
      <c r="T1833">
        <f>IMAGE("https://mitra.stanford.edu/kundaje/oak/projects/neuro-variants/variant_position/credible/roussos_2024/variant_figures/roussos_2024.childhood.Astrocyte/rs62064674_profile_position.png",4,220,900)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0.06444062</v>
      </c>
      <c r="G1834" t="n">
        <v>0.1520476927571973</v>
      </c>
      <c r="H1834" t="n">
        <v>0.0145280683118023</v>
      </c>
      <c r="I1834" t="n">
        <v>0.3233478850329404</v>
      </c>
      <c r="J1834" t="n">
        <v>0.2122514559623853</v>
      </c>
      <c r="K1834" t="n">
        <v>0.1922662379622261</v>
      </c>
      <c r="L1834" t="b">
        <v>0</v>
      </c>
      <c r="M1834" t="b">
        <v>0</v>
      </c>
      <c r="N1834" t="inlineStr">
        <is>
          <t>alt</t>
        </is>
      </c>
      <c r="O1834" t="n">
        <v>-100</v>
      </c>
      <c r="P1834" t="n">
        <v>0.00638</v>
      </c>
      <c r="Q1834" t="n">
        <v>95</v>
      </c>
      <c r="R1834" t="n">
        <v>0.08550000000000001</v>
      </c>
      <c r="S1834">
        <f>IMAGE("https://mitra.stanford.edu/kundaje/oak/projects/neuro-variants/variant_position/credible/roussos_2024/variant_figures/roussos_2024.childhood.Astrocyte/rs76723223_count_position.png",4,220,900)</f>
        <v/>
      </c>
      <c r="T1834">
        <f>IMAGE("https://mitra.stanford.edu/kundaje/oak/projects/neuro-variants/variant_position/credible/roussos_2024/variant_figures/roussos_2024.childhood.Astrocyte/rs76723223_profile_position.png",4,220,900)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-0.184049502</v>
      </c>
      <c r="G1835" t="n">
        <v>0.0228267048872896</v>
      </c>
      <c r="H1835" t="n">
        <v>0.0259948490993111</v>
      </c>
      <c r="I1835" t="n">
        <v>0.0552348636705068</v>
      </c>
      <c r="J1835" t="n">
        <v>0.3323387755413584</v>
      </c>
      <c r="K1835" t="n">
        <v>0.114965926081998</v>
      </c>
      <c r="L1835" t="b">
        <v>0</v>
      </c>
      <c r="M1835" t="b">
        <v>0</v>
      </c>
      <c r="N1835" t="inlineStr">
        <is>
          <t>ref</t>
        </is>
      </c>
      <c r="O1835" t="n">
        <v>-90</v>
      </c>
      <c r="P1835" t="n">
        <v>0.003227</v>
      </c>
      <c r="Q1835" t="n">
        <v>100</v>
      </c>
      <c r="R1835" t="n">
        <v>0.0659</v>
      </c>
      <c r="S1835">
        <f>IMAGE("https://mitra.stanford.edu/kundaje/oak/projects/neuro-variants/variant_position/credible/roussos_2024/variant_figures/roussos_2024.childhood.Astrocyte/rs733966_count_position.png",4,220,900)</f>
        <v/>
      </c>
      <c r="T1835">
        <f>IMAGE("https://mitra.stanford.edu/kundaje/oak/projects/neuro-variants/variant_position/credible/roussos_2024/variant_figures/roussos_2024.childhood.Astrocyte/rs733966_profile_position.png",4,220,900)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-0.0567711652</v>
      </c>
      <c r="G1836" t="n">
        <v>0.1930900086036152</v>
      </c>
      <c r="H1836" t="n">
        <v>0.0133148333093768</v>
      </c>
      <c r="I1836" t="n">
        <v>0.4071290994930287</v>
      </c>
      <c r="J1836" t="n">
        <v>0.3436315480143191</v>
      </c>
      <c r="K1836" t="n">
        <v>0.1097404293712706</v>
      </c>
      <c r="L1836" t="b">
        <v>0</v>
      </c>
      <c r="M1836" t="b">
        <v>0</v>
      </c>
      <c r="N1836" t="inlineStr">
        <is>
          <t>ref</t>
        </is>
      </c>
      <c r="O1836" t="n">
        <v>65</v>
      </c>
      <c r="P1836" t="n">
        <v>0.00586</v>
      </c>
      <c r="Q1836" t="n">
        <v>-45</v>
      </c>
      <c r="R1836" t="n">
        <v>0.1346</v>
      </c>
      <c r="S1836">
        <f>IMAGE("https://mitra.stanford.edu/kundaje/oak/projects/neuro-variants/variant_position/credible/roussos_2024/variant_figures/roussos_2024.childhood.Astrocyte/rs733969_count_position.png",4,220,900)</f>
        <v/>
      </c>
      <c r="T1836">
        <f>IMAGE("https://mitra.stanford.edu/kundaje/oak/projects/neuro-variants/variant_position/credible/roussos_2024/variant_figures/roussos_2024.childhood.Astrocyte/rs733969_profile_position.png",4,220,900)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0.0307225236</v>
      </c>
      <c r="G1837" t="n">
        <v>0.2984289573744491</v>
      </c>
      <c r="H1837" t="n">
        <v>0.0145300784780128</v>
      </c>
      <c r="I1837" t="n">
        <v>0.3265398842100317</v>
      </c>
      <c r="J1837" t="n">
        <v>0.2749833985940326</v>
      </c>
      <c r="K1837" t="n">
        <v>0.1463369236378803</v>
      </c>
      <c r="L1837" t="b">
        <v>0</v>
      </c>
      <c r="M1837" t="b">
        <v>0</v>
      </c>
      <c r="N1837" t="inlineStr">
        <is>
          <t>alt</t>
        </is>
      </c>
      <c r="O1837" t="n">
        <v>100</v>
      </c>
      <c r="P1837" t="n">
        <v>0.003525</v>
      </c>
      <c r="Q1837" t="n">
        <v>-95</v>
      </c>
      <c r="R1837" t="n">
        <v>0.179</v>
      </c>
      <c r="S1837">
        <f>IMAGE("https://mitra.stanford.edu/kundaje/oak/projects/neuro-variants/variant_position/credible/roussos_2024/variant_figures/roussos_2024.childhood.Astrocyte/rs4306559_count_position.png",4,220,900)</f>
        <v/>
      </c>
      <c r="T1837">
        <f>IMAGE("https://mitra.stanford.edu/kundaje/oak/projects/neuro-variants/variant_position/credible/roussos_2024/variant_figures/roussos_2024.childhood.Astrocyte/rs4306559_profile_position.png",4,220,900)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0.0199952016</v>
      </c>
      <c r="G1838" t="n">
        <v>0.5074753441090278</v>
      </c>
      <c r="H1838" t="n">
        <v>0.0111789164113437</v>
      </c>
      <c r="I1838" t="n">
        <v>0.5928189529092404</v>
      </c>
      <c r="J1838" t="n">
        <v>0.2818827139291521</v>
      </c>
      <c r="K1838" t="n">
        <v>0.1438521304446855</v>
      </c>
      <c r="L1838" t="b">
        <v>0</v>
      </c>
      <c r="M1838" t="b">
        <v>0</v>
      </c>
      <c r="N1838" t="inlineStr">
        <is>
          <t>alt</t>
        </is>
      </c>
      <c r="O1838" t="n">
        <v>95</v>
      </c>
      <c r="P1838" t="n">
        <v>0.01964</v>
      </c>
      <c r="Q1838" t="n">
        <v>95</v>
      </c>
      <c r="R1838" t="n">
        <v>0.2686</v>
      </c>
      <c r="S1838">
        <f>IMAGE("https://mitra.stanford.edu/kundaje/oak/projects/neuro-variants/variant_position/credible/roussos_2024/variant_figures/roussos_2024.childhood.Astrocyte/rs62062270_count_position.png",4,220,900)</f>
        <v/>
      </c>
      <c r="T1838">
        <f>IMAGE("https://mitra.stanford.edu/kundaje/oak/projects/neuro-variants/variant_position/credible/roussos_2024/variant_figures/roussos_2024.childhood.Astrocyte/rs62062270_profile_position.png",4,220,900)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0.1155874985999999</v>
      </c>
      <c r="G1839" t="n">
        <v>0.056473828995944</v>
      </c>
      <c r="H1839" t="n">
        <v>0.0155296239266782</v>
      </c>
      <c r="I1839" t="n">
        <v>0.2786011580650894</v>
      </c>
      <c r="J1839" t="n">
        <v>0.0197010983642844</v>
      </c>
      <c r="K1839" t="n">
        <v>0.6107598677674728</v>
      </c>
      <c r="L1839" t="b">
        <v>0</v>
      </c>
      <c r="M1839" t="b">
        <v>0</v>
      </c>
      <c r="N1839" t="inlineStr">
        <is>
          <t>alt</t>
        </is>
      </c>
      <c r="O1839" t="n">
        <v>100</v>
      </c>
      <c r="P1839" t="n">
        <v>0.009350000000000001</v>
      </c>
      <c r="Q1839" t="n">
        <v>-90</v>
      </c>
      <c r="R1839" t="n">
        <v>0.0653</v>
      </c>
      <c r="S1839">
        <f>IMAGE("https://mitra.stanford.edu/kundaje/oak/projects/neuro-variants/variant_position/credible/roussos_2024/variant_figures/roussos_2024.childhood.Astrocyte/rs62062275_count_position.png",4,220,900)</f>
        <v/>
      </c>
      <c r="T1839">
        <f>IMAGE("https://mitra.stanford.edu/kundaje/oak/projects/neuro-variants/variant_position/credible/roussos_2024/variant_figures/roussos_2024.childhood.Astrocyte/rs62062275_profile_position.png",4,220,900)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0.00876123446</v>
      </c>
      <c r="G1840" t="n">
        <v>0.6127597425268543</v>
      </c>
      <c r="H1840" t="n">
        <v>0.0109785424567162</v>
      </c>
      <c r="I1840" t="n">
        <v>0.6189340929516026</v>
      </c>
      <c r="J1840" t="n">
        <v>0.5465747673894958</v>
      </c>
      <c r="K1840" t="n">
        <v>0.044402245811942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0.05347</v>
      </c>
      <c r="Q1840" t="n">
        <v>40</v>
      </c>
      <c r="R1840" t="n">
        <v>0.01294</v>
      </c>
      <c r="S1840">
        <f>IMAGE("https://mitra.stanford.edu/kundaje/oak/projects/neuro-variants/variant_position/credible/roussos_2024/variant_figures/roussos_2024.childhood.Astrocyte/rs9468_count_position.png",4,220,900)</f>
        <v/>
      </c>
      <c r="T1840">
        <f>IMAGE("https://mitra.stanford.edu/kundaje/oak/projects/neuro-variants/variant_position/credible/roussos_2024/variant_figures/roussos_2024.childhood.Astrocyte/rs9468_profile_position.png",4,220,900)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0.0651780458</v>
      </c>
      <c r="G1841" t="n">
        <v>0.1415913045848852</v>
      </c>
      <c r="H1841" t="n">
        <v>0.0160651020224397</v>
      </c>
      <c r="I1841" t="n">
        <v>0.2494456503498065</v>
      </c>
      <c r="J1841" t="n">
        <v>0.2594979124209048</v>
      </c>
      <c r="K1841" t="n">
        <v>0.1562091014699568</v>
      </c>
      <c r="L1841" t="b">
        <v>0</v>
      </c>
      <c r="M1841" t="b">
        <v>0</v>
      </c>
      <c r="N1841" t="inlineStr">
        <is>
          <t>alt</t>
        </is>
      </c>
      <c r="O1841" t="n">
        <v>-100</v>
      </c>
      <c r="P1841" t="n">
        <v>0.009520000000000001</v>
      </c>
      <c r="Q1841" t="n">
        <v>-55</v>
      </c>
      <c r="R1841" t="n">
        <v>0.07056</v>
      </c>
      <c r="S1841">
        <f>IMAGE("https://mitra.stanford.edu/kundaje/oak/projects/neuro-variants/variant_position/credible/roussos_2024/variant_figures/roussos_2024.childhood.Astrocyte/rs1052590_count_position.png",4,220,900)</f>
        <v/>
      </c>
      <c r="T1841">
        <f>IMAGE("https://mitra.stanford.edu/kundaje/oak/projects/neuro-variants/variant_position/credible/roussos_2024/variant_figures/roussos_2024.childhood.Astrocyte/rs1052590_profile_position.png",4,220,900)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0.0660844767999999</v>
      </c>
      <c r="G1842" t="n">
        <v>0.1498190585262237</v>
      </c>
      <c r="H1842" t="n">
        <v>0.0219495880162764</v>
      </c>
      <c r="I1842" t="n">
        <v>0.0938696986289084</v>
      </c>
      <c r="J1842" t="n">
        <v>0.245077206078786</v>
      </c>
      <c r="K1842" t="n">
        <v>0.1678069027582907</v>
      </c>
      <c r="L1842" t="b">
        <v>0</v>
      </c>
      <c r="M1842" t="b">
        <v>0</v>
      </c>
      <c r="N1842" t="inlineStr">
        <is>
          <t>alt</t>
        </is>
      </c>
      <c r="O1842" t="n">
        <v>-60</v>
      </c>
      <c r="P1842" t="n">
        <v>0.1015</v>
      </c>
      <c r="Q1842" t="n">
        <v>-45</v>
      </c>
      <c r="R1842" t="n">
        <v>0.10144</v>
      </c>
      <c r="S1842">
        <f>IMAGE("https://mitra.stanford.edu/kundaje/oak/projects/neuro-variants/variant_position/credible/roussos_2024/variant_figures/roussos_2024.childhood.Astrocyte/rs17652748_count_position.png",4,220,900)</f>
        <v/>
      </c>
      <c r="T1842">
        <f>IMAGE("https://mitra.stanford.edu/kundaje/oak/projects/neuro-variants/variant_position/credible/roussos_2024/variant_figures/roussos_2024.childhood.Astrocyte/rs17652748_profile_position.png",4,220,900)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0.038306237</v>
      </c>
      <c r="G1843" t="n">
        <v>0.3049549165280601</v>
      </c>
      <c r="H1843" t="n">
        <v>0.009873394110332501</v>
      </c>
      <c r="I1843" t="n">
        <v>0.7289228814642326</v>
      </c>
      <c r="J1843" t="n">
        <v>0.3272774457496584</v>
      </c>
      <c r="K1843" t="n">
        <v>0.1189498519535372</v>
      </c>
      <c r="L1843" t="b">
        <v>0</v>
      </c>
      <c r="M1843" t="b">
        <v>0</v>
      </c>
      <c r="N1843" t="inlineStr">
        <is>
          <t>alt</t>
        </is>
      </c>
      <c r="O1843" t="n">
        <v>100</v>
      </c>
      <c r="P1843" t="n">
        <v>0.01256</v>
      </c>
      <c r="Q1843" t="n">
        <v>20</v>
      </c>
      <c r="R1843" t="n">
        <v>0.1004</v>
      </c>
      <c r="S1843">
        <f>IMAGE("https://mitra.stanford.edu/kundaje/oak/projects/neuro-variants/variant_position/credible/roussos_2024/variant_figures/roussos_2024.childhood.Astrocyte/rs75010486_count_position.png",4,220,900)</f>
        <v/>
      </c>
      <c r="T1843">
        <f>IMAGE("https://mitra.stanford.edu/kundaje/oak/projects/neuro-variants/variant_position/credible/roussos_2024/variant_figures/roussos_2024.childhood.Astrocyte/rs75010486_profile_position.png",4,220,900)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0.06451087579999989</v>
      </c>
      <c r="G1844" t="n">
        <v>0.143490965980875</v>
      </c>
      <c r="H1844" t="n">
        <v>0.0139619597287989</v>
      </c>
      <c r="I1844" t="n">
        <v>0.3716046717757418</v>
      </c>
      <c r="J1844" t="n">
        <v>0.084888522513033</v>
      </c>
      <c r="K1844" t="n">
        <v>0.3672291442118068</v>
      </c>
      <c r="L1844" t="b">
        <v>0</v>
      </c>
      <c r="M1844" t="b">
        <v>0</v>
      </c>
      <c r="N1844" t="inlineStr">
        <is>
          <t>alt</t>
        </is>
      </c>
      <c r="O1844" t="n">
        <v>80</v>
      </c>
      <c r="P1844" t="n">
        <v>0.005856</v>
      </c>
      <c r="Q1844" t="n">
        <v>90</v>
      </c>
      <c r="R1844" t="n">
        <v>0.0654</v>
      </c>
      <c r="S1844">
        <f>IMAGE("https://mitra.stanford.edu/kundaje/oak/projects/neuro-variants/variant_position/credible/roussos_2024/variant_figures/roussos_2024.childhood.Astrocyte/rs79772576_count_position.png",4,220,900)</f>
        <v/>
      </c>
      <c r="T1844">
        <f>IMAGE("https://mitra.stanford.edu/kundaje/oak/projects/neuro-variants/variant_position/credible/roussos_2024/variant_figures/roussos_2024.childhood.Astrocyte/rs79772576_profile_position.png",4,220,900)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0.01452507072</v>
      </c>
      <c r="G1845" t="n">
        <v>0.4709153893950454</v>
      </c>
      <c r="H1845" t="n">
        <v>0.0105177937467182</v>
      </c>
      <c r="I1845" t="n">
        <v>0.6597833642031528</v>
      </c>
      <c r="J1845" t="n">
        <v>0.3914535198797065</v>
      </c>
      <c r="K1845" t="n">
        <v>0.09052858325919549</v>
      </c>
      <c r="L1845" t="b">
        <v>0</v>
      </c>
      <c r="M1845" t="b">
        <v>0</v>
      </c>
      <c r="N1845" t="inlineStr">
        <is>
          <t>alt</t>
        </is>
      </c>
      <c r="O1845" t="n">
        <v>-100</v>
      </c>
      <c r="P1845" t="n">
        <v>0.143</v>
      </c>
      <c r="Q1845" t="n">
        <v>80</v>
      </c>
      <c r="R1845" t="n">
        <v>0.1138</v>
      </c>
      <c r="S1845">
        <f>IMAGE("https://mitra.stanford.edu/kundaje/oak/projects/neuro-variants/variant_position/credible/roussos_2024/variant_figures/roussos_2024.childhood.Astrocyte/rs34579536_count_position.png",4,220,900)</f>
        <v/>
      </c>
      <c r="T1845">
        <f>IMAGE("https://mitra.stanford.edu/kundaje/oak/projects/neuro-variants/variant_position/credible/roussos_2024/variant_figures/roussos_2024.childhood.Astrocyte/rs34579536_profile_position.png",4,220,900)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-0.0010456033799999</v>
      </c>
      <c r="G1846" t="n">
        <v>0.5334409762820175</v>
      </c>
      <c r="H1846" t="n">
        <v>0.0098142710013653</v>
      </c>
      <c r="I1846" t="n">
        <v>0.7242137506604888</v>
      </c>
      <c r="J1846" t="n">
        <v>0.0299954966301053</v>
      </c>
      <c r="K1846" t="n">
        <v>0.5487417799790913</v>
      </c>
      <c r="L1846" t="b">
        <v>0</v>
      </c>
      <c r="M1846" t="b">
        <v>0</v>
      </c>
      <c r="N1846" t="inlineStr">
        <is>
          <t>ref</t>
        </is>
      </c>
      <c r="O1846" t="n">
        <v>15</v>
      </c>
      <c r="P1846" t="n">
        <v>0.00611</v>
      </c>
      <c r="Q1846" t="n">
        <v>-40</v>
      </c>
      <c r="R1846" t="n">
        <v>0.03314</v>
      </c>
      <c r="S1846">
        <f>IMAGE("https://mitra.stanford.edu/kundaje/oak/projects/neuro-variants/variant_position/credible/roussos_2024/variant_figures/roussos_2024.childhood.Astrocyte/rs62062321_count_position.png",4,220,900)</f>
        <v/>
      </c>
      <c r="T1846">
        <f>IMAGE("https://mitra.stanford.edu/kundaje/oak/projects/neuro-variants/variant_position/credible/roussos_2024/variant_figures/roussos_2024.childhood.Astrocyte/rs62062321_profile_position.png",4,220,900)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-0.0141031764</v>
      </c>
      <c r="G1847" t="n">
        <v>0.6473752846859561</v>
      </c>
      <c r="H1847" t="n">
        <v>0.0251365298197653</v>
      </c>
      <c r="I1847" t="n">
        <v>0.0575346005904234</v>
      </c>
      <c r="J1847" t="n">
        <v>0.085795302756215</v>
      </c>
      <c r="K1847" t="n">
        <v>0.3562020898791661</v>
      </c>
      <c r="L1847" t="b">
        <v>0</v>
      </c>
      <c r="M1847" t="b">
        <v>0</v>
      </c>
      <c r="N1847" t="inlineStr">
        <is>
          <t>ref</t>
        </is>
      </c>
      <c r="O1847" t="n">
        <v>100</v>
      </c>
      <c r="P1847" t="n">
        <v>0.0703</v>
      </c>
      <c r="Q1847" t="n">
        <v>95</v>
      </c>
      <c r="R1847" t="n">
        <v>0.7334000000000001</v>
      </c>
      <c r="S1847">
        <f>IMAGE("https://mitra.stanford.edu/kundaje/oak/projects/neuro-variants/variant_position/credible/roussos_2024/variant_figures/roussos_2024.childhood.Astrocyte/rs62062322_count_position.png",4,220,900)</f>
        <v/>
      </c>
      <c r="T1847">
        <f>IMAGE("https://mitra.stanford.edu/kundaje/oak/projects/neuro-variants/variant_position/credible/roussos_2024/variant_figures/roussos_2024.childhood.Astrocyte/rs62062322_profile_position.png",4,220,900)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0.0005772382</v>
      </c>
      <c r="G1848" t="n">
        <v>0.5294333234561508</v>
      </c>
      <c r="H1848" t="n">
        <v>0.0104888336682006</v>
      </c>
      <c r="I1848" t="n">
        <v>0.6534646584637077</v>
      </c>
      <c r="J1848" t="n">
        <v>0.0696778182317784</v>
      </c>
      <c r="K1848" t="n">
        <v>0.3914469560346464</v>
      </c>
      <c r="L1848" t="b">
        <v>0</v>
      </c>
      <c r="M1848" t="b">
        <v>0</v>
      </c>
      <c r="N1848" t="inlineStr">
        <is>
          <t>alt</t>
        </is>
      </c>
      <c r="O1848" t="n">
        <v>-85</v>
      </c>
      <c r="P1848" t="n">
        <v>0.01206</v>
      </c>
      <c r="Q1848" t="n">
        <v>10</v>
      </c>
      <c r="R1848" t="n">
        <v>0.01965</v>
      </c>
      <c r="S1848">
        <f>IMAGE("https://mitra.stanford.edu/kundaje/oak/projects/neuro-variants/variant_position/credible/roussos_2024/variant_figures/roussos_2024.childhood.Astrocyte/rs8077487_count_position.png",4,220,900)</f>
        <v/>
      </c>
      <c r="T1848">
        <f>IMAGE("https://mitra.stanford.edu/kundaje/oak/projects/neuro-variants/variant_position/credible/roussos_2024/variant_figures/roussos_2024.childhood.Astrocyte/rs8077487_profile_position.png",4,220,900)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-0.0823557738</v>
      </c>
      <c r="G1849" t="n">
        <v>0.1024666429639163</v>
      </c>
      <c r="H1849" t="n">
        <v>0.0359595378516238</v>
      </c>
      <c r="I1849" t="n">
        <v>0.0146319405364987</v>
      </c>
      <c r="J1849" t="n">
        <v>0.3569462572416477</v>
      </c>
      <c r="K1849" t="n">
        <v>0.1051862523805232</v>
      </c>
      <c r="L1849" t="b">
        <v>1</v>
      </c>
      <c r="M1849" t="b">
        <v>0</v>
      </c>
      <c r="N1849" t="inlineStr">
        <is>
          <t>ref</t>
        </is>
      </c>
      <c r="O1849" t="n">
        <v>55</v>
      </c>
      <c r="P1849" t="n">
        <v>0.053</v>
      </c>
      <c r="Q1849" t="n">
        <v>75</v>
      </c>
      <c r="R1849" t="n">
        <v>0.5938</v>
      </c>
      <c r="S1849">
        <f>IMAGE("https://mitra.stanford.edu/kundaje/oak/projects/neuro-variants/variant_position/credible/roussos_2024/variant_figures/roussos_2024.childhood.Astrocyte/rs7221390_count_position.png",4,220,900)</f>
        <v/>
      </c>
      <c r="T1849">
        <f>IMAGE("https://mitra.stanford.edu/kundaje/oak/projects/neuro-variants/variant_position/credible/roussos_2024/variant_figures/roussos_2024.childhood.Astrocyte/rs7221390_profile_position.png",4,220,900)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-0.02956602718</v>
      </c>
      <c r="G1850" t="n">
        <v>0.2281402252274417</v>
      </c>
      <c r="H1850" t="n">
        <v>0.0190142958831445</v>
      </c>
      <c r="I1850" t="n">
        <v>0.1653983078303133</v>
      </c>
      <c r="J1850" t="n">
        <v>0.0807492386251745</v>
      </c>
      <c r="K1850" t="n">
        <v>0.3594115047457045</v>
      </c>
      <c r="L1850" t="b">
        <v>0</v>
      </c>
      <c r="M1850" t="b">
        <v>0</v>
      </c>
      <c r="N1850" t="inlineStr">
        <is>
          <t>ref</t>
        </is>
      </c>
      <c r="O1850" t="n">
        <v>-55</v>
      </c>
      <c r="P1850" t="n">
        <v>0.003082</v>
      </c>
      <c r="Q1850" t="n">
        <v>40</v>
      </c>
      <c r="R1850" t="n">
        <v>0.042</v>
      </c>
      <c r="S1850">
        <f>IMAGE("https://mitra.stanford.edu/kundaje/oak/projects/neuro-variants/variant_position/credible/roussos_2024/variant_figures/roussos_2024.childhood.Astrocyte/rs62062137_count_position.png",4,220,900)</f>
        <v/>
      </c>
      <c r="T1850">
        <f>IMAGE("https://mitra.stanford.edu/kundaje/oak/projects/neuro-variants/variant_position/credible/roussos_2024/variant_figures/roussos_2024.childhood.Astrocyte/rs62062137_profile_position.png",4,220,900)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-0.0254564378</v>
      </c>
      <c r="G1851" t="n">
        <v>0.4489464540324202</v>
      </c>
      <c r="H1851" t="n">
        <v>0.0114415846076247</v>
      </c>
      <c r="I1851" t="n">
        <v>0.5699064905286744</v>
      </c>
      <c r="J1851" t="n">
        <v>0.031159503255402</v>
      </c>
      <c r="K1851" t="n">
        <v>0.5195231329988724</v>
      </c>
      <c r="L1851" t="b">
        <v>0</v>
      </c>
      <c r="M1851" t="b">
        <v>0</v>
      </c>
      <c r="N1851" t="inlineStr">
        <is>
          <t>ref</t>
        </is>
      </c>
      <c r="O1851" t="n">
        <v>-100</v>
      </c>
      <c r="P1851" t="n">
        <v>0.003128</v>
      </c>
      <c r="Q1851" t="n">
        <v>-85</v>
      </c>
      <c r="R1851" t="n">
        <v>0.02258</v>
      </c>
      <c r="S1851">
        <f>IMAGE("https://mitra.stanford.edu/kundaje/oak/projects/neuro-variants/variant_position/credible/roussos_2024/variant_figures/roussos_2024.childhood.Astrocyte/rs55893711_count_position.png",4,220,900)</f>
        <v/>
      </c>
      <c r="T1851">
        <f>IMAGE("https://mitra.stanford.edu/kundaje/oak/projects/neuro-variants/variant_position/credible/roussos_2024/variant_figures/roussos_2024.childhood.Astrocyte/rs55893711_profile_position.png",4,220,900)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0.0839405869999999</v>
      </c>
      <c r="G1852" t="n">
        <v>0.09382215046599179</v>
      </c>
      <c r="H1852" t="n">
        <v>0.0108022443936323</v>
      </c>
      <c r="I1852" t="n">
        <v>0.6282162099356771</v>
      </c>
      <c r="J1852" t="n">
        <v>0.0066917023501484</v>
      </c>
      <c r="K1852" t="n">
        <v>0.7417228498671542</v>
      </c>
      <c r="L1852" t="b">
        <v>0</v>
      </c>
      <c r="M1852" t="b">
        <v>0</v>
      </c>
      <c r="N1852" t="inlineStr">
        <is>
          <t>alt</t>
        </is>
      </c>
      <c r="O1852" t="n">
        <v>-70</v>
      </c>
      <c r="P1852" t="n">
        <v>0.004036</v>
      </c>
      <c r="Q1852" t="n">
        <v>80</v>
      </c>
      <c r="R1852" t="n">
        <v>0.2</v>
      </c>
      <c r="S1852">
        <f>IMAGE("https://mitra.stanford.edu/kundaje/oak/projects/neuro-variants/variant_position/credible/roussos_2024/variant_figures/roussos_2024.childhood.Astrocyte/rs62063670_count_position.png",4,220,900)</f>
        <v/>
      </c>
      <c r="T1852">
        <f>IMAGE("https://mitra.stanford.edu/kundaje/oak/projects/neuro-variants/variant_position/credible/roussos_2024/variant_figures/roussos_2024.childhood.Astrocyte/rs62063670_profile_position.png",4,220,900)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0.1538021982</v>
      </c>
      <c r="G1853" t="n">
        <v>0.0366897939310515</v>
      </c>
      <c r="H1853" t="n">
        <v>0.0411642565538318</v>
      </c>
      <c r="I1853" t="n">
        <v>0.0132027708601911</v>
      </c>
      <c r="J1853" t="n">
        <v>0.0042934670605206</v>
      </c>
      <c r="K1853" t="n">
        <v>0.7988916809003843</v>
      </c>
      <c r="L1853" t="b">
        <v>0</v>
      </c>
      <c r="M1853" t="b">
        <v>0</v>
      </c>
      <c r="N1853" t="inlineStr">
        <is>
          <t>alt</t>
        </is>
      </c>
      <c r="O1853" t="n">
        <v>90</v>
      </c>
      <c r="P1853" t="n">
        <v>0.013824</v>
      </c>
      <c r="Q1853" t="n">
        <v>-45</v>
      </c>
      <c r="R1853" t="n">
        <v>0.1205</v>
      </c>
      <c r="S1853">
        <f>IMAGE("https://mitra.stanford.edu/kundaje/oak/projects/neuro-variants/variant_position/credible/roussos_2024/variant_figures/roussos_2024.childhood.Astrocyte/rs79065019_count_position.png",4,220,900)</f>
        <v/>
      </c>
      <c r="T1853">
        <f>IMAGE("https://mitra.stanford.edu/kundaje/oak/projects/neuro-variants/variant_position/credible/roussos_2024/variant_figures/roussos_2024.childhood.Astrocyte/rs79065019_profile_position.png",4,220,900)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0.0056714847308</v>
      </c>
      <c r="G1854" t="n">
        <v>0.8332251920201265</v>
      </c>
      <c r="H1854" t="n">
        <v>0.0252989659318427</v>
      </c>
      <c r="I1854" t="n">
        <v>0.0563498398893707</v>
      </c>
      <c r="J1854" t="n">
        <v>0.0060848923389281</v>
      </c>
      <c r="K1854" t="n">
        <v>0.7475685570801583</v>
      </c>
      <c r="L1854" t="b">
        <v>0</v>
      </c>
      <c r="M1854" t="b">
        <v>0</v>
      </c>
      <c r="N1854" t="inlineStr">
        <is>
          <t>alt</t>
        </is>
      </c>
      <c r="O1854" t="n">
        <v>100</v>
      </c>
      <c r="P1854" t="n">
        <v>0.09283</v>
      </c>
      <c r="Q1854" t="n">
        <v>-100</v>
      </c>
      <c r="R1854" t="n">
        <v>0.165</v>
      </c>
      <c r="S1854">
        <f>IMAGE("https://mitra.stanford.edu/kundaje/oak/projects/neuro-variants/variant_position/credible/roussos_2024/variant_figures/roussos_2024.childhood.Astrocyte/rs111259120_count_position.png",4,220,900)</f>
        <v/>
      </c>
      <c r="T1854">
        <f>IMAGE("https://mitra.stanford.edu/kundaje/oak/projects/neuro-variants/variant_position/credible/roussos_2024/variant_figures/roussos_2024.childhood.Astrocyte/rs111259120_profile_position.png",4,220,900)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0.0008359835999999</v>
      </c>
      <c r="G1855" t="n">
        <v>0.3696992484758945</v>
      </c>
      <c r="H1855" t="n">
        <v>0.0170509868451769</v>
      </c>
      <c r="I1855" t="n">
        <v>0.204692138476227</v>
      </c>
      <c r="J1855" t="n">
        <v>0.1101432682252905</v>
      </c>
      <c r="K1855" t="n">
        <v>0.3131285548452118</v>
      </c>
      <c r="L1855" t="b">
        <v>0</v>
      </c>
      <c r="M1855" t="b">
        <v>0</v>
      </c>
      <c r="N1855" t="inlineStr">
        <is>
          <t>alt</t>
        </is>
      </c>
      <c r="O1855" t="n">
        <v>-100</v>
      </c>
      <c r="P1855" t="n">
        <v>0.09420000000000001</v>
      </c>
      <c r="Q1855" t="n">
        <v>-30</v>
      </c>
      <c r="R1855" t="n">
        <v>0.10657</v>
      </c>
      <c r="S1855">
        <f>IMAGE("https://mitra.stanford.edu/kundaje/oak/projects/neuro-variants/variant_position/credible/roussos_2024/variant_figures/roussos_2024.childhood.Astrocyte/rs111372048_count_position.png",4,220,900)</f>
        <v/>
      </c>
      <c r="T1855">
        <f>IMAGE("https://mitra.stanford.edu/kundaje/oak/projects/neuro-variants/variant_position/credible/roussos_2024/variant_figures/roussos_2024.childhood.Astrocyte/rs111372048_profile_position.png",4,220,900)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0.0004783228</v>
      </c>
      <c r="G1856" t="n">
        <v>0.562722117278891</v>
      </c>
      <c r="H1856" t="n">
        <v>0.0100592164675132</v>
      </c>
      <c r="I1856" t="n">
        <v>0.7095333504919077</v>
      </c>
      <c r="J1856" t="n">
        <v>0.1030348133391342</v>
      </c>
      <c r="K1856" t="n">
        <v>0.3270524397442995</v>
      </c>
      <c r="L1856" t="b">
        <v>0</v>
      </c>
      <c r="M1856" t="b">
        <v>0</v>
      </c>
      <c r="N1856" t="inlineStr">
        <is>
          <t>alt</t>
        </is>
      </c>
      <c r="O1856" t="n">
        <v>-100</v>
      </c>
      <c r="P1856" t="n">
        <v>0.09344</v>
      </c>
      <c r="Q1856" t="n">
        <v>-90</v>
      </c>
      <c r="R1856" t="n">
        <v>0.3784</v>
      </c>
      <c r="S1856">
        <f>IMAGE("https://mitra.stanford.edu/kundaje/oak/projects/neuro-variants/variant_position/credible/roussos_2024/variant_figures/roussos_2024.childhood.Astrocyte/rs62060785_count_position.png",4,220,900)</f>
        <v/>
      </c>
      <c r="T1856">
        <f>IMAGE("https://mitra.stanford.edu/kundaje/oak/projects/neuro-variants/variant_position/credible/roussos_2024/variant_figures/roussos_2024.childhood.Astrocyte/rs62060785_profile_position.png",4,220,900)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0.01685956322</v>
      </c>
      <c r="G1857" t="n">
        <v>0.5875632175068969</v>
      </c>
      <c r="H1857" t="n">
        <v>0.0103010442750567</v>
      </c>
      <c r="I1857" t="n">
        <v>0.6808120586519054</v>
      </c>
      <c r="J1857" t="n">
        <v>0.1570042667521543</v>
      </c>
      <c r="K1857" t="n">
        <v>0.24399473332922</v>
      </c>
      <c r="L1857" t="b">
        <v>0</v>
      </c>
      <c r="M1857" t="b">
        <v>0</v>
      </c>
      <c r="N1857" t="inlineStr">
        <is>
          <t>alt</t>
        </is>
      </c>
      <c r="O1857" t="n">
        <v>-20</v>
      </c>
      <c r="P1857" t="n">
        <v>0.00293</v>
      </c>
      <c r="Q1857" t="n">
        <v>0</v>
      </c>
      <c r="R1857" t="n">
        <v>0</v>
      </c>
      <c r="S1857">
        <f>IMAGE("https://mitra.stanford.edu/kundaje/oak/projects/neuro-variants/variant_position/credible/roussos_2024/variant_figures/roussos_2024.childhood.Astrocyte/rs2838_count_position.png",4,220,900)</f>
        <v/>
      </c>
      <c r="T1857">
        <f>IMAGE("https://mitra.stanford.edu/kundaje/oak/projects/neuro-variants/variant_position/credible/roussos_2024/variant_figures/roussos_2024.childhood.Astrocyte/rs2838_profile_position.png",4,220,900)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-0.0050872385599999</v>
      </c>
      <c r="G1858" t="n">
        <v>0.765140517786367</v>
      </c>
      <c r="H1858" t="n">
        <v>0.0075833947389284</v>
      </c>
      <c r="I1858" t="n">
        <v>0.93140768295149</v>
      </c>
      <c r="J1858" t="n">
        <v>0.0296016425850869</v>
      </c>
      <c r="K1858" t="n">
        <v>0.5272905017041747</v>
      </c>
      <c r="L1858" t="b">
        <v>0</v>
      </c>
      <c r="M1858" t="b">
        <v>0</v>
      </c>
      <c r="N1858" t="inlineStr">
        <is>
          <t>ref</t>
        </is>
      </c>
      <c r="O1858" t="n">
        <v>100</v>
      </c>
      <c r="P1858" t="n">
        <v>0.0152</v>
      </c>
      <c r="Q1858" t="n">
        <v>5</v>
      </c>
      <c r="R1858" t="n">
        <v>0.000977</v>
      </c>
      <c r="S1858">
        <f>IMAGE("https://mitra.stanford.edu/kundaje/oak/projects/neuro-variants/variant_position/credible/roussos_2024/variant_figures/roussos_2024.childhood.Astrocyte/rs76307183_count_position.png",4,220,900)</f>
        <v/>
      </c>
      <c r="T1858">
        <f>IMAGE("https://mitra.stanford.edu/kundaje/oak/projects/neuro-variants/variant_position/credible/roussos_2024/variant_figures/roussos_2024.childhood.Astrocyte/rs76307183_profile_position.png",4,220,900)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0.0287809376</v>
      </c>
      <c r="G1859" t="n">
        <v>0.3934855686173316</v>
      </c>
      <c r="H1859" t="n">
        <v>0.0103744815741284</v>
      </c>
      <c r="I1859" t="n">
        <v>0.6821756343691885</v>
      </c>
      <c r="J1859" t="n">
        <v>0.0008632731103019</v>
      </c>
      <c r="K1859" t="n">
        <v>0.9098559045950416</v>
      </c>
      <c r="L1859" t="b">
        <v>0</v>
      </c>
      <c r="M1859" t="b">
        <v>0</v>
      </c>
      <c r="N1859" t="inlineStr">
        <is>
          <t>alt</t>
        </is>
      </c>
      <c r="O1859" t="n">
        <v>-100</v>
      </c>
      <c r="P1859" t="n">
        <v>0.00204</v>
      </c>
      <c r="Q1859" t="n">
        <v>-95</v>
      </c>
      <c r="R1859" t="n">
        <v>0.0535</v>
      </c>
      <c r="S1859">
        <f>IMAGE("https://mitra.stanford.edu/kundaje/oak/projects/neuro-variants/variant_position/credible/roussos_2024/variant_figures/roussos_2024.childhood.Astrocyte/rs62060802_count_position.png",4,220,900)</f>
        <v/>
      </c>
      <c r="T1859">
        <f>IMAGE("https://mitra.stanford.edu/kundaje/oak/projects/neuro-variants/variant_position/credible/roussos_2024/variant_figures/roussos_2024.childhood.Astrocyte/rs62060802_profile_position.png",4,220,900)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0.1250555512</v>
      </c>
      <c r="G1860" t="n">
        <v>0.0447284200434622</v>
      </c>
      <c r="H1860" t="n">
        <v>0.0155422608368684</v>
      </c>
      <c r="I1860" t="n">
        <v>0.2801298300621901</v>
      </c>
      <c r="J1860" t="n">
        <v>0.0050231656400509</v>
      </c>
      <c r="K1860" t="n">
        <v>0.7712217144742818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0.03046</v>
      </c>
      <c r="Q1860" t="n">
        <v>-30</v>
      </c>
      <c r="R1860" t="n">
        <v>0.09569999999999999</v>
      </c>
      <c r="S1860">
        <f>IMAGE("https://mitra.stanford.edu/kundaje/oak/projects/neuro-variants/variant_position/credible/roussos_2024/variant_figures/roussos_2024.childhood.Astrocyte/rs62060840_count_position.png",4,220,900)</f>
        <v/>
      </c>
      <c r="T1860">
        <f>IMAGE("https://mitra.stanford.edu/kundaje/oak/projects/neuro-variants/variant_position/credible/roussos_2024/variant_figures/roussos_2024.childhood.Astrocyte/rs62060840_profile_position.png",4,220,900)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0.08160666599999999</v>
      </c>
      <c r="G1861" t="n">
        <v>0.1002656507233811</v>
      </c>
      <c r="H1861" t="n">
        <v>0.0129460826023832</v>
      </c>
      <c r="I1861" t="n">
        <v>0.4373889939234031</v>
      </c>
      <c r="J1861" t="n">
        <v>0.0293573920145328</v>
      </c>
      <c r="K1861" t="n">
        <v>0.5355613079381014</v>
      </c>
      <c r="L1861" t="b">
        <v>0</v>
      </c>
      <c r="M1861" t="b">
        <v>0</v>
      </c>
      <c r="N1861" t="inlineStr">
        <is>
          <t>alt</t>
        </is>
      </c>
      <c r="O1861" t="n">
        <v>100</v>
      </c>
      <c r="P1861" t="n">
        <v>0.00706</v>
      </c>
      <c r="Q1861" t="n">
        <v>100</v>
      </c>
      <c r="R1861" t="n">
        <v>0.1284</v>
      </c>
      <c r="S1861">
        <f>IMAGE("https://mitra.stanford.edu/kundaje/oak/projects/neuro-variants/variant_position/credible/roussos_2024/variant_figures/roussos_2024.childhood.Astrocyte/rs17576165_count_position.png",4,220,900)</f>
        <v/>
      </c>
      <c r="T1861">
        <f>IMAGE("https://mitra.stanford.edu/kundaje/oak/projects/neuro-variants/variant_position/credible/roussos_2024/variant_figures/roussos_2024.childhood.Astrocyte/rs17576165_profile_position.png",4,220,900)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-0.0014215906599999</v>
      </c>
      <c r="G1862" t="n">
        <v>0.6314670946070622</v>
      </c>
      <c r="H1862" t="n">
        <v>0.0145373516220269</v>
      </c>
      <c r="I1862" t="n">
        <v>0.3320480931119293</v>
      </c>
      <c r="J1862" t="n">
        <v>0.0017509712776594</v>
      </c>
      <c r="K1862" t="n">
        <v>0.8642001489984927</v>
      </c>
      <c r="L1862" t="b">
        <v>0</v>
      </c>
      <c r="M1862" t="b">
        <v>0</v>
      </c>
      <c r="N1862" t="inlineStr">
        <is>
          <t>ref</t>
        </is>
      </c>
      <c r="O1862" t="n">
        <v>-70</v>
      </c>
      <c r="P1862" t="n">
        <v>0.01458</v>
      </c>
      <c r="Q1862" t="n">
        <v>-95</v>
      </c>
      <c r="R1862" t="n">
        <v>0.01599</v>
      </c>
      <c r="S1862">
        <f>IMAGE("https://mitra.stanford.edu/kundaje/oak/projects/neuro-variants/variant_position/credible/roussos_2024/variant_figures/roussos_2024.childhood.Astrocyte/rs62061812_count_position.png",4,220,900)</f>
        <v/>
      </c>
      <c r="T1862">
        <f>IMAGE("https://mitra.stanford.edu/kundaje/oak/projects/neuro-variants/variant_position/credible/roussos_2024/variant_figures/roussos_2024.childhood.Astrocyte/rs62061812_profile_position.png",4,220,900)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-0.00401687734</v>
      </c>
      <c r="G1863" t="n">
        <v>0.5731188821795135</v>
      </c>
      <c r="H1863" t="n">
        <v>0.0280451813148753</v>
      </c>
      <c r="I1863" t="n">
        <v>0.0391656644398486</v>
      </c>
      <c r="J1863" t="n">
        <v>0.0581499545846595</v>
      </c>
      <c r="K1863" t="n">
        <v>0.4185694648532024</v>
      </c>
      <c r="L1863" t="b">
        <v>0</v>
      </c>
      <c r="M1863" t="b">
        <v>0</v>
      </c>
      <c r="N1863" t="inlineStr">
        <is>
          <t>ref</t>
        </is>
      </c>
      <c r="O1863" t="n">
        <v>-40</v>
      </c>
      <c r="P1863" t="n">
        <v>0.011284</v>
      </c>
      <c r="Q1863" t="n">
        <v>-70</v>
      </c>
      <c r="R1863" t="n">
        <v>0.0781</v>
      </c>
      <c r="S1863">
        <f>IMAGE("https://mitra.stanford.edu/kundaje/oak/projects/neuro-variants/variant_position/credible/roussos_2024/variant_figures/roussos_2024.childhood.Astrocyte/rs17576989_count_position.png",4,220,900)</f>
        <v/>
      </c>
      <c r="T1863">
        <f>IMAGE("https://mitra.stanford.edu/kundaje/oak/projects/neuro-variants/variant_position/credible/roussos_2024/variant_figures/roussos_2024.childhood.Astrocyte/rs17576989_profile_position.png",4,220,900)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0.0042659654</v>
      </c>
      <c r="G1864" t="n">
        <v>0.3168376274749812</v>
      </c>
      <c r="H1864" t="n">
        <v>0.0129294890136471</v>
      </c>
      <c r="I1864" t="n">
        <v>0.4355125191893566</v>
      </c>
      <c r="J1864" t="n">
        <v>0.0169112988787371</v>
      </c>
      <c r="K1864" t="n">
        <v>0.6374963986064188</v>
      </c>
      <c r="L1864" t="b">
        <v>0</v>
      </c>
      <c r="M1864" t="b">
        <v>0</v>
      </c>
      <c r="N1864" t="inlineStr">
        <is>
          <t>alt</t>
        </is>
      </c>
      <c r="O1864" t="n">
        <v>-100</v>
      </c>
      <c r="P1864" t="n">
        <v>0.0178</v>
      </c>
      <c r="Q1864" t="n">
        <v>-45</v>
      </c>
      <c r="R1864" t="n">
        <v>0.04398</v>
      </c>
      <c r="S1864">
        <f>IMAGE("https://mitra.stanford.edu/kundaje/oak/projects/neuro-variants/variant_position/credible/roussos_2024/variant_figures/roussos_2024.childhood.Astrocyte/rs111295615_count_position.png",4,220,900)</f>
        <v/>
      </c>
      <c r="T1864">
        <f>IMAGE("https://mitra.stanford.edu/kundaje/oak/projects/neuro-variants/variant_position/credible/roussos_2024/variant_figures/roussos_2024.childhood.Astrocyte/rs111295615_profile_position.png",4,220,900)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0.0425403774</v>
      </c>
      <c r="G1865" t="n">
        <v>0.2642535903346969</v>
      </c>
      <c r="H1865" t="n">
        <v>0.0150319601316883</v>
      </c>
      <c r="I1865" t="n">
        <v>0.2978780416056236</v>
      </c>
      <c r="J1865" t="n">
        <v>0.0129178020501781</v>
      </c>
      <c r="K1865" t="n">
        <v>0.6537824564296336</v>
      </c>
      <c r="L1865" t="b">
        <v>0</v>
      </c>
      <c r="M1865" t="b">
        <v>0</v>
      </c>
      <c r="N1865" t="inlineStr">
        <is>
          <t>alt</t>
        </is>
      </c>
      <c r="O1865" t="n">
        <v>-50</v>
      </c>
      <c r="P1865" t="n">
        <v>0.009310000000000001</v>
      </c>
      <c r="Q1865" t="n">
        <v>-30</v>
      </c>
      <c r="R1865" t="n">
        <v>0.0368</v>
      </c>
      <c r="S1865">
        <f>IMAGE("https://mitra.stanford.edu/kundaje/oak/projects/neuro-variants/variant_position/credible/roussos_2024/variant_figures/roussos_2024.childhood.Astrocyte/rs17577313_count_position.png",4,220,900)</f>
        <v/>
      </c>
      <c r="T1865">
        <f>IMAGE("https://mitra.stanford.edu/kundaje/oak/projects/neuro-variants/variant_position/credible/roussos_2024/variant_figures/roussos_2024.childhood.Astrocyte/rs17577313_profile_position.png",4,220,900)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-0.00360669016</v>
      </c>
      <c r="G1866" t="n">
        <v>0.7279951810539648</v>
      </c>
      <c r="H1866" t="n">
        <v>0.0278686853206623</v>
      </c>
      <c r="I1866" t="n">
        <v>0.0393181849425335</v>
      </c>
      <c r="J1866" t="n">
        <v>0.009221985604481901</v>
      </c>
      <c r="K1866" t="n">
        <v>0.6963721865318091</v>
      </c>
      <c r="L1866" t="b">
        <v>0</v>
      </c>
      <c r="M1866" t="b">
        <v>0</v>
      </c>
      <c r="N1866" t="inlineStr">
        <is>
          <t>ref</t>
        </is>
      </c>
      <c r="O1866" t="n">
        <v>80</v>
      </c>
      <c r="P1866" t="n">
        <v>0.01251</v>
      </c>
      <c r="Q1866" t="n">
        <v>-20</v>
      </c>
      <c r="R1866" t="n">
        <v>0.02832</v>
      </c>
      <c r="S1866">
        <f>IMAGE("https://mitra.stanford.edu/kundaje/oak/projects/neuro-variants/variant_position/credible/roussos_2024/variant_figures/roussos_2024.childhood.Astrocyte/rs4548919_count_position.png",4,220,900)</f>
        <v/>
      </c>
      <c r="T1866">
        <f>IMAGE("https://mitra.stanford.edu/kundaje/oak/projects/neuro-variants/variant_position/credible/roussos_2024/variant_figures/roussos_2024.childhood.Astrocyte/rs4548919_profile_position.png",4,220,900)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-0.061863693</v>
      </c>
      <c r="G1867" t="n">
        <v>0.1629589324456189</v>
      </c>
      <c r="H1867" t="n">
        <v>0.0134388129557841</v>
      </c>
      <c r="I1867" t="n">
        <v>0.3944632900217684</v>
      </c>
      <c r="J1867" t="n">
        <v>0.1191057375985588</v>
      </c>
      <c r="K1867" t="n">
        <v>0.3022756145909219</v>
      </c>
      <c r="L1867" t="b">
        <v>0</v>
      </c>
      <c r="M1867" t="b">
        <v>0</v>
      </c>
      <c r="N1867" t="inlineStr">
        <is>
          <t>ref</t>
        </is>
      </c>
      <c r="O1867" t="n">
        <v>35</v>
      </c>
      <c r="P1867" t="n">
        <v>0.0009990000000000001</v>
      </c>
      <c r="Q1867" t="n">
        <v>-100</v>
      </c>
      <c r="R1867" t="n">
        <v>0.02884</v>
      </c>
      <c r="S1867">
        <f>IMAGE("https://mitra.stanford.edu/kundaje/oak/projects/neuro-variants/variant_position/credible/roussos_2024/variant_figures/roussos_2024.childhood.Astrocyte/rs77560794_count_position.png",4,220,900)</f>
        <v/>
      </c>
      <c r="T1867">
        <f>IMAGE("https://mitra.stanford.edu/kundaje/oak/projects/neuro-variants/variant_position/credible/roussos_2024/variant_figures/roussos_2024.childhood.Astrocyte/rs77560794_profile_position.png",4,220,900)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-0.1076746124</v>
      </c>
      <c r="G1868" t="n">
        <v>0.0994680614419981</v>
      </c>
      <c r="H1868" t="n">
        <v>0.0308406846545445</v>
      </c>
      <c r="I1868" t="n">
        <v>0.0319084841392867</v>
      </c>
      <c r="J1868" t="n">
        <v>0.0353506903895032</v>
      </c>
      <c r="K1868" t="n">
        <v>0.5053680196441953</v>
      </c>
      <c r="L1868" t="b">
        <v>0</v>
      </c>
      <c r="M1868" t="b">
        <v>0</v>
      </c>
      <c r="N1868" t="inlineStr">
        <is>
          <t>ref</t>
        </is>
      </c>
      <c r="O1868" t="n">
        <v>-100</v>
      </c>
      <c r="P1868" t="n">
        <v>0.004364</v>
      </c>
      <c r="Q1868" t="n">
        <v>-75</v>
      </c>
      <c r="R1868" t="n">
        <v>0.08344</v>
      </c>
      <c r="S1868">
        <f>IMAGE("https://mitra.stanford.edu/kundaje/oak/projects/neuro-variants/variant_position/credible/roussos_2024/variant_figures/roussos_2024.childhood.Astrocyte/rs3087534_count_position.png",4,220,900)</f>
        <v/>
      </c>
      <c r="T1868">
        <f>IMAGE("https://mitra.stanford.edu/kundaje/oak/projects/neuro-variants/variant_position/credible/roussos_2024/variant_figures/roussos_2024.childhood.Astrocyte/rs3087534_profile_position.png",4,220,900)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-0.01708751772</v>
      </c>
      <c r="G1869" t="n">
        <v>0.5760788115224003</v>
      </c>
      <c r="H1869" t="n">
        <v>0.0107905992074423</v>
      </c>
      <c r="I1869" t="n">
        <v>0.6407643759627942</v>
      </c>
      <c r="J1869" t="n">
        <v>0.0047369345026828</v>
      </c>
      <c r="K1869" t="n">
        <v>0.7939593655805729</v>
      </c>
      <c r="L1869" t="b">
        <v>0</v>
      </c>
      <c r="M1869" t="b">
        <v>0</v>
      </c>
      <c r="N1869" t="inlineStr">
        <is>
          <t>ref</t>
        </is>
      </c>
      <c r="O1869" t="n">
        <v>-60</v>
      </c>
      <c r="P1869" t="n">
        <v>0.001457</v>
      </c>
      <c r="Q1869" t="n">
        <v>-10</v>
      </c>
      <c r="R1869" t="n">
        <v>0.0392</v>
      </c>
      <c r="S1869">
        <f>IMAGE("https://mitra.stanford.edu/kundaje/oak/projects/neuro-variants/variant_position/credible/roussos_2024/variant_figures/roussos_2024.childhood.Astrocyte/rs55672516_count_position.png",4,220,900)</f>
        <v/>
      </c>
      <c r="T1869">
        <f>IMAGE("https://mitra.stanford.edu/kundaje/oak/projects/neuro-variants/variant_position/credible/roussos_2024/variant_figures/roussos_2024.childhood.Astrocyte/rs55672516_profile_position.png",4,220,900)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-0.1725640719999999</v>
      </c>
      <c r="G1870" t="n">
        <v>0.0279543844729007</v>
      </c>
      <c r="H1870" t="n">
        <v>0.0166423595931036</v>
      </c>
      <c r="I1870" t="n">
        <v>0.2225776240557672</v>
      </c>
      <c r="J1870" t="n">
        <v>0.1541770663979909</v>
      </c>
      <c r="K1870" t="n">
        <v>0.2460783961690603</v>
      </c>
      <c r="L1870" t="b">
        <v>0</v>
      </c>
      <c r="M1870" t="b">
        <v>0</v>
      </c>
      <c r="N1870" t="inlineStr">
        <is>
          <t>ref</t>
        </is>
      </c>
      <c r="O1870" t="n">
        <v>-60</v>
      </c>
      <c r="P1870" t="n">
        <v>0.1705</v>
      </c>
      <c r="Q1870" t="n">
        <v>45</v>
      </c>
      <c r="R1870" t="n">
        <v>0.0677</v>
      </c>
      <c r="S1870">
        <f>IMAGE("https://mitra.stanford.edu/kundaje/oak/projects/neuro-variants/variant_position/credible/roussos_2024/variant_figures/roussos_2024.childhood.Astrocyte/rs2532307_count_position.png",4,220,900)</f>
        <v/>
      </c>
      <c r="T1870">
        <f>IMAGE("https://mitra.stanford.edu/kundaje/oak/projects/neuro-variants/variant_position/credible/roussos_2024/variant_figures/roussos_2024.childhood.Astrocyte/rs2532307_profile_position.png",4,220,900)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-0.1237487807999999</v>
      </c>
      <c r="G1871" t="n">
        <v>0.0523380605868446</v>
      </c>
      <c r="H1871" t="n">
        <v>0.0174335430528992</v>
      </c>
      <c r="I1871" t="n">
        <v>0.1948014479603738</v>
      </c>
      <c r="J1871" t="n">
        <v>0.0906016960148992</v>
      </c>
      <c r="K1871" t="n">
        <v>0.3441234297149398</v>
      </c>
      <c r="L1871" t="b">
        <v>0</v>
      </c>
      <c r="M1871" t="b">
        <v>0</v>
      </c>
      <c r="N1871" t="inlineStr">
        <is>
          <t>ref</t>
        </is>
      </c>
      <c r="O1871" t="n">
        <v>90</v>
      </c>
      <c r="P1871" t="n">
        <v>0.0556</v>
      </c>
      <c r="Q1871" t="n">
        <v>35</v>
      </c>
      <c r="R1871" t="n">
        <v>0.0589</v>
      </c>
      <c r="S1871">
        <f>IMAGE("https://mitra.stanford.edu/kundaje/oak/projects/neuro-variants/variant_position/credible/roussos_2024/variant_figures/roussos_2024.childhood.Astrocyte/rs2532276_count_position.png",4,220,900)</f>
        <v/>
      </c>
      <c r="T1871">
        <f>IMAGE("https://mitra.stanford.edu/kundaje/oak/projects/neuro-variants/variant_position/credible/roussos_2024/variant_figures/roussos_2024.childhood.Astrocyte/rs2532276_profile_position.png",4,220,900)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-0.049429514</v>
      </c>
      <c r="G1872" t="n">
        <v>0.2188146671824599</v>
      </c>
      <c r="H1872" t="n">
        <v>0.0106485037275392</v>
      </c>
      <c r="I1872" t="n">
        <v>0.6474978182893354</v>
      </c>
      <c r="J1872" t="n">
        <v>0.0595803469884667</v>
      </c>
      <c r="K1872" t="n">
        <v>0.4254670682402383</v>
      </c>
      <c r="L1872" t="b">
        <v>0</v>
      </c>
      <c r="M1872" t="b">
        <v>0</v>
      </c>
      <c r="N1872" t="inlineStr">
        <is>
          <t>ref</t>
        </is>
      </c>
      <c r="O1872" t="n">
        <v>-60</v>
      </c>
      <c r="P1872" t="n">
        <v>0.031</v>
      </c>
      <c r="Q1872" t="n">
        <v>-50</v>
      </c>
      <c r="R1872" t="n">
        <v>0.05518</v>
      </c>
      <c r="S1872">
        <f>IMAGE("https://mitra.stanford.edu/kundaje/oak/projects/neuro-variants/variant_position/credible/roussos_2024/variant_figures/roussos_2024.childhood.Astrocyte/rs2696566_count_position.png",4,220,900)</f>
        <v/>
      </c>
      <c r="T1872">
        <f>IMAGE("https://mitra.stanford.edu/kundaje/oak/projects/neuro-variants/variant_position/credible/roussos_2024/variant_figures/roussos_2024.childhood.Astrocyte/rs2696566_profile_position.png",4,220,900)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-0.02933557632</v>
      </c>
      <c r="G1873" t="n">
        <v>0.4051093252435705</v>
      </c>
      <c r="H1873" t="n">
        <v>0.0086336294704672</v>
      </c>
      <c r="I1873" t="n">
        <v>0.8545632600400187</v>
      </c>
      <c r="J1873" t="n">
        <v>0.0004014868753482</v>
      </c>
      <c r="K1873" t="n">
        <v>0.943434218443219</v>
      </c>
      <c r="L1873" t="b">
        <v>0</v>
      </c>
      <c r="M1873" t="b">
        <v>0</v>
      </c>
      <c r="N1873" t="inlineStr">
        <is>
          <t>ref</t>
        </is>
      </c>
      <c r="O1873" t="n">
        <v>-100</v>
      </c>
      <c r="P1873" t="n">
        <v>0.0449</v>
      </c>
      <c r="Q1873" t="n">
        <v>-75</v>
      </c>
      <c r="R1873" t="n">
        <v>0.1575</v>
      </c>
      <c r="S1873">
        <f>IMAGE("https://mitra.stanford.edu/kundaje/oak/projects/neuro-variants/variant_position/credible/roussos_2024/variant_figures/roussos_2024.childhood.Astrocyte/rs199437_count_position.png",4,220,900)</f>
        <v/>
      </c>
      <c r="T1873">
        <f>IMAGE("https://mitra.stanford.edu/kundaje/oak/projects/neuro-variants/variant_position/credible/roussos_2024/variant_figures/roussos_2024.childhood.Astrocyte/rs199437_profile_position.png",4,220,900)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-0.096505942</v>
      </c>
      <c r="G1874" t="n">
        <v>0.07748993658467659</v>
      </c>
      <c r="H1874" t="n">
        <v>0.0139851495443373</v>
      </c>
      <c r="I1874" t="n">
        <v>0.3557829280292497</v>
      </c>
      <c r="J1874" t="n">
        <v>0.0039644920733056</v>
      </c>
      <c r="K1874" t="n">
        <v>0.7980351283540116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0.00818</v>
      </c>
      <c r="Q1874" t="n">
        <v>-40</v>
      </c>
      <c r="R1874" t="n">
        <v>0.0731</v>
      </c>
      <c r="S1874">
        <f>IMAGE("https://mitra.stanford.edu/kundaje/oak/projects/neuro-variants/variant_position/credible/roussos_2024/variant_figures/roussos_2024.childhood.Astrocyte/rs538628_count_position.png",4,220,900)</f>
        <v/>
      </c>
      <c r="T1874">
        <f>IMAGE("https://mitra.stanford.edu/kundaje/oak/projects/neuro-variants/variant_position/credible/roussos_2024/variant_figures/roussos_2024.childhood.Astrocyte/rs538628_profile_position.png",4,220,900)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0.09588380959999999</v>
      </c>
      <c r="G1875" t="n">
        <v>0.1014122671664658</v>
      </c>
      <c r="H1875" t="n">
        <v>0.0130933341030614</v>
      </c>
      <c r="I1875" t="n">
        <v>0.4051367317655646</v>
      </c>
      <c r="J1875" t="n">
        <v>0.013048323448818</v>
      </c>
      <c r="K1875" t="n">
        <v>0.6688720217794629</v>
      </c>
      <c r="L1875" t="b">
        <v>0</v>
      </c>
      <c r="M1875" t="b">
        <v>0</v>
      </c>
      <c r="N1875" t="inlineStr">
        <is>
          <t>alt</t>
        </is>
      </c>
      <c r="O1875" t="n">
        <v>-100</v>
      </c>
      <c r="P1875" t="n">
        <v>0.00504</v>
      </c>
      <c r="Q1875" t="n">
        <v>-100</v>
      </c>
      <c r="R1875" t="n">
        <v>0.05872</v>
      </c>
      <c r="S1875">
        <f>IMAGE("https://mitra.stanford.edu/kundaje/oak/projects/neuro-variants/variant_position/credible/roussos_2024/variant_figures/roussos_2024.childhood.Astrocyte/rs199436_count_position.png",4,220,900)</f>
        <v/>
      </c>
      <c r="T1875">
        <f>IMAGE("https://mitra.stanford.edu/kundaje/oak/projects/neuro-variants/variant_position/credible/roussos_2024/variant_figures/roussos_2024.childhood.Astrocyte/rs199436_profile_position.png",4,220,900)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-0.00801629268</v>
      </c>
      <c r="G1876" t="n">
        <v>0.7728935272831032</v>
      </c>
      <c r="H1876" t="n">
        <v>0.0219807446832013</v>
      </c>
      <c r="I1876" t="n">
        <v>0.0923664226283242</v>
      </c>
      <c r="J1876" t="n">
        <v>0.008056452413119201</v>
      </c>
      <c r="K1876" t="n">
        <v>0.7351145031821587</v>
      </c>
      <c r="L1876" t="b">
        <v>0</v>
      </c>
      <c r="M1876" t="b">
        <v>0</v>
      </c>
      <c r="N1876" t="inlineStr">
        <is>
          <t>ref</t>
        </is>
      </c>
      <c r="O1876" t="n">
        <v>-95</v>
      </c>
      <c r="P1876" t="n">
        <v>0.003277</v>
      </c>
      <c r="Q1876" t="n">
        <v>-60</v>
      </c>
      <c r="R1876" t="n">
        <v>0.0473</v>
      </c>
      <c r="S1876">
        <f>IMAGE("https://mitra.stanford.edu/kundaje/oak/projects/neuro-variants/variant_position/credible/roussos_2024/variant_figures/roussos_2024.childhood.Astrocyte/rs199438_count_position.png",4,220,900)</f>
        <v/>
      </c>
      <c r="T1876">
        <f>IMAGE("https://mitra.stanford.edu/kundaje/oak/projects/neuro-variants/variant_position/credible/roussos_2024/variant_figures/roussos_2024.childhood.Astrocyte/rs199438_profile_position.png",4,220,900)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0.1414639494</v>
      </c>
      <c r="G1877" t="n">
        <v>0.0388733668899126</v>
      </c>
      <c r="H1877" t="n">
        <v>0.0181251369471121</v>
      </c>
      <c r="I1877" t="n">
        <v>0.1944872473113315</v>
      </c>
      <c r="J1877" t="n">
        <v>0.047175471136452</v>
      </c>
      <c r="K1877" t="n">
        <v>0.4589131909412615</v>
      </c>
      <c r="L1877" t="b">
        <v>0</v>
      </c>
      <c r="M1877" t="b">
        <v>0</v>
      </c>
      <c r="N1877" t="inlineStr">
        <is>
          <t>alt</t>
        </is>
      </c>
      <c r="O1877" t="n">
        <v>-60</v>
      </c>
      <c r="P1877" t="n">
        <v>0.01455</v>
      </c>
      <c r="Q1877" t="n">
        <v>-60</v>
      </c>
      <c r="R1877" t="n">
        <v>0.1421</v>
      </c>
      <c r="S1877">
        <f>IMAGE("https://mitra.stanford.edu/kundaje/oak/projects/neuro-variants/variant_position/credible/roussos_2024/variant_figures/roussos_2024.childhood.Astrocyte/rs199453_count_position.png",4,220,900)</f>
        <v/>
      </c>
      <c r="T1877">
        <f>IMAGE("https://mitra.stanford.edu/kundaje/oak/projects/neuro-variants/variant_position/credible/roussos_2024/variant_figures/roussos_2024.childhood.Astrocyte/rs199453_profile_position.png",4,220,900)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-0.136844172</v>
      </c>
      <c r="G1878" t="n">
        <v>0.0380318585929006</v>
      </c>
      <c r="H1878" t="n">
        <v>0.0172483884574966</v>
      </c>
      <c r="I1878" t="n">
        <v>0.2014833596336598</v>
      </c>
      <c r="J1878" t="n">
        <v>0.0146214497797928</v>
      </c>
      <c r="K1878" t="n">
        <v>0.6451760457124951</v>
      </c>
      <c r="L1878" t="b">
        <v>0</v>
      </c>
      <c r="M1878" t="b">
        <v>0</v>
      </c>
      <c r="N1878" t="inlineStr">
        <is>
          <t>ref</t>
        </is>
      </c>
      <c r="O1878" t="n">
        <v>-65</v>
      </c>
      <c r="P1878" t="n">
        <v>0.00431</v>
      </c>
      <c r="Q1878" t="n">
        <v>-95</v>
      </c>
      <c r="R1878" t="n">
        <v>0.02301</v>
      </c>
      <c r="S1878">
        <f>IMAGE("https://mitra.stanford.edu/kundaje/oak/projects/neuro-variants/variant_position/credible/roussos_2024/variant_figures/roussos_2024.childhood.Astrocyte/rs199451_count_position.png",4,220,900)</f>
        <v/>
      </c>
      <c r="T1878">
        <f>IMAGE("https://mitra.stanford.edu/kundaje/oak/projects/neuro-variants/variant_position/credible/roussos_2024/variant_figures/roussos_2024.childhood.Astrocyte/rs199451_profile_position.png",4,220,900)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-0.0375220929999999</v>
      </c>
      <c r="G1879" t="n">
        <v>0.2777600803809469</v>
      </c>
      <c r="H1879" t="n">
        <v>0.0129375156187973</v>
      </c>
      <c r="I1879" t="n">
        <v>0.4310438671425755</v>
      </c>
      <c r="J1879" t="n">
        <v>0.0475990932197567</v>
      </c>
      <c r="K1879" t="n">
        <v>0.4624297635243821</v>
      </c>
      <c r="L1879" t="b">
        <v>0</v>
      </c>
      <c r="M1879" t="b">
        <v>0</v>
      </c>
      <c r="N1879" t="inlineStr">
        <is>
          <t>ref</t>
        </is>
      </c>
      <c r="O1879" t="n">
        <v>100</v>
      </c>
      <c r="P1879" t="n">
        <v>0.03903</v>
      </c>
      <c r="Q1879" t="n">
        <v>100</v>
      </c>
      <c r="R1879" t="n">
        <v>0.08325</v>
      </c>
      <c r="S1879">
        <f>IMAGE("https://mitra.stanford.edu/kundaje/oak/projects/neuro-variants/variant_position/credible/roussos_2024/variant_figures/roussos_2024.childhood.Astrocyte/rs199442_count_position.png",4,220,900)</f>
        <v/>
      </c>
      <c r="T1879">
        <f>IMAGE("https://mitra.stanford.edu/kundaje/oak/projects/neuro-variants/variant_position/credible/roussos_2024/variant_figures/roussos_2024.childhood.Astrocyte/rs199442_profile_position.png",4,220,900)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0.0094877504</v>
      </c>
      <c r="G1880" t="n">
        <v>0.4527942251963126</v>
      </c>
      <c r="H1880" t="n">
        <v>0.0265326337355009</v>
      </c>
      <c r="I1880" t="n">
        <v>0.0475827852368047</v>
      </c>
      <c r="J1880" t="n">
        <v>0.005510903498126</v>
      </c>
      <c r="K1880" t="n">
        <v>0.7785577784330846</v>
      </c>
      <c r="L1880" t="b">
        <v>0</v>
      </c>
      <c r="M1880" t="b">
        <v>0</v>
      </c>
      <c r="N1880" t="inlineStr">
        <is>
          <t>alt</t>
        </is>
      </c>
      <c r="O1880" t="n">
        <v>-95</v>
      </c>
      <c r="P1880" t="n">
        <v>0.009220000000000001</v>
      </c>
      <c r="Q1880" t="n">
        <v>30</v>
      </c>
      <c r="R1880" t="n">
        <v>0.02069</v>
      </c>
      <c r="S1880">
        <f>IMAGE("https://mitra.stanford.edu/kundaje/oak/projects/neuro-variants/variant_position/credible/roussos_2024/variant_figures/roussos_2024.childhood.Astrocyte/rs199534_count_position.png",4,220,900)</f>
        <v/>
      </c>
      <c r="T1880">
        <f>IMAGE("https://mitra.stanford.edu/kundaje/oak/projects/neuro-variants/variant_position/credible/roussos_2024/variant_figures/roussos_2024.childhood.Astrocyte/rs199534_profile_position.png",4,220,900)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-0.0355266242</v>
      </c>
      <c r="G1881" t="n">
        <v>0.3328356748848618</v>
      </c>
      <c r="H1881" t="n">
        <v>0.0098534178630682</v>
      </c>
      <c r="I1881" t="n">
        <v>0.7264197475601611</v>
      </c>
      <c r="J1881" t="n">
        <v>0.5205445261157291</v>
      </c>
      <c r="K1881" t="n">
        <v>0.0507590897908852</v>
      </c>
      <c r="L1881" t="b">
        <v>0</v>
      </c>
      <c r="M1881" t="b">
        <v>0</v>
      </c>
      <c r="N1881" t="inlineStr">
        <is>
          <t>ref</t>
        </is>
      </c>
      <c r="O1881" t="n">
        <v>25</v>
      </c>
      <c r="P1881" t="n">
        <v>0.003021</v>
      </c>
      <c r="Q1881" t="n">
        <v>-100</v>
      </c>
      <c r="R1881" t="n">
        <v>0.1196</v>
      </c>
      <c r="S1881">
        <f>IMAGE("https://mitra.stanford.edu/kundaje/oak/projects/neuro-variants/variant_position/credible/roussos_2024/variant_figures/roussos_2024.childhood.Astrocyte/rs199528_count_position.png",4,220,900)</f>
        <v/>
      </c>
      <c r="T1881">
        <f>IMAGE("https://mitra.stanford.edu/kundaje/oak/projects/neuro-variants/variant_position/credible/roussos_2024/variant_figures/roussos_2024.childhood.Astrocyte/rs199528_profile_position.png",4,220,900)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-0.1831246688</v>
      </c>
      <c r="G1882" t="n">
        <v>0.022999929723499</v>
      </c>
      <c r="H1882" t="n">
        <v>0.0369308099759147</v>
      </c>
      <c r="I1882" t="n">
        <v>0.0150785756570032</v>
      </c>
      <c r="J1882" t="n">
        <v>0.9173127857540856</v>
      </c>
      <c r="K1882" t="n">
        <v>0.0012644904566115</v>
      </c>
      <c r="L1882" t="b">
        <v>1</v>
      </c>
      <c r="M1882" t="b">
        <v>0</v>
      </c>
      <c r="N1882" t="inlineStr">
        <is>
          <t>ref</t>
        </is>
      </c>
      <c r="O1882" t="n">
        <v>65</v>
      </c>
      <c r="P1882" t="n">
        <v>0.006454</v>
      </c>
      <c r="Q1882" t="n">
        <v>15</v>
      </c>
      <c r="R1882" t="n">
        <v>0.0304</v>
      </c>
      <c r="S1882">
        <f>IMAGE("https://mitra.stanford.edu/kundaje/oak/projects/neuro-variants/variant_position/credible/roussos_2024/variant_figures/roussos_2024.childhood.Astrocyte/rs199523_count_position.png",4,220,900)</f>
        <v/>
      </c>
      <c r="T1882">
        <f>IMAGE("https://mitra.stanford.edu/kundaje/oak/projects/neuro-variants/variant_position/credible/roussos_2024/variant_figures/roussos_2024.childhood.Astrocyte/rs199523_profile_position.png",4,220,900)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-0.01012983894</v>
      </c>
      <c r="G1883" t="n">
        <v>0.6730589263849754</v>
      </c>
      <c r="H1883" t="n">
        <v>0.0634097776601686</v>
      </c>
      <c r="I1883" t="n">
        <v>0.0017068329350103</v>
      </c>
      <c r="J1883" t="n">
        <v>0.0887308893010617</v>
      </c>
      <c r="K1883" t="n">
        <v>0.3512980864046572</v>
      </c>
      <c r="L1883" t="b">
        <v>1</v>
      </c>
      <c r="M1883" t="b">
        <v>1</v>
      </c>
      <c r="N1883" t="inlineStr">
        <is>
          <t>ref</t>
        </is>
      </c>
      <c r="O1883" t="n">
        <v>65</v>
      </c>
      <c r="P1883" t="n">
        <v>0.0083</v>
      </c>
      <c r="Q1883" t="n">
        <v>65</v>
      </c>
      <c r="R1883" t="n">
        <v>0.05716</v>
      </c>
      <c r="S1883">
        <f>IMAGE("https://mitra.stanford.edu/kundaje/oak/projects/neuro-variants/variant_position/credible/roussos_2024/variant_figures/roussos_2024.childhood.Astrocyte/rs199518_count_position.png",4,220,900)</f>
        <v/>
      </c>
      <c r="T1883">
        <f>IMAGE("https://mitra.stanford.edu/kundaje/oak/projects/neuro-variants/variant_position/credible/roussos_2024/variant_figures/roussos_2024.childhood.Astrocyte/rs199518_profile_position.png",4,220,900)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-0.011033335692</v>
      </c>
      <c r="G1884" t="n">
        <v>0.6975762617642212</v>
      </c>
      <c r="H1884" t="n">
        <v>0.0346557471908172</v>
      </c>
      <c r="I1884" t="n">
        <v>0.0178443752987628</v>
      </c>
      <c r="J1884" t="n">
        <v>0.0889468983993954</v>
      </c>
      <c r="K1884" t="n">
        <v>0.350639579241245</v>
      </c>
      <c r="L1884" t="b">
        <v>1</v>
      </c>
      <c r="M1884" t="b">
        <v>0</v>
      </c>
      <c r="N1884" t="inlineStr">
        <is>
          <t>ref</t>
        </is>
      </c>
      <c r="O1884" t="n">
        <v>60</v>
      </c>
      <c r="P1884" t="n">
        <v>0.008670000000000001</v>
      </c>
      <c r="Q1884" t="n">
        <v>60</v>
      </c>
      <c r="R1884" t="n">
        <v>0.06866</v>
      </c>
      <c r="S1884">
        <f>IMAGE("https://mitra.stanford.edu/kundaje/oak/projects/neuro-variants/variant_position/credible/roussos_2024/variant_figures/roussos_2024.childhood.Astrocyte/rs199517_count_position.png",4,220,900)</f>
        <v/>
      </c>
      <c r="T1884">
        <f>IMAGE("https://mitra.stanford.edu/kundaje/oak/projects/neuro-variants/variant_position/credible/roussos_2024/variant_figures/roussos_2024.childhood.Astrocyte/rs199517_profile_position.png",4,220,900)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0.0106491949999999</v>
      </c>
      <c r="G1885" t="n">
        <v>0.4091634833602912</v>
      </c>
      <c r="H1885" t="n">
        <v>0.0123688908920966</v>
      </c>
      <c r="I1885" t="n">
        <v>0.4821673608721338</v>
      </c>
      <c r="J1885" t="n">
        <v>0.5523383175715387</v>
      </c>
      <c r="K1885" t="n">
        <v>0.0434359445255319</v>
      </c>
      <c r="L1885" t="b">
        <v>0</v>
      </c>
      <c r="M1885" t="b">
        <v>0</v>
      </c>
      <c r="N1885" t="inlineStr">
        <is>
          <t>alt</t>
        </is>
      </c>
      <c r="O1885" t="n">
        <v>-90</v>
      </c>
      <c r="P1885" t="n">
        <v>0.01682</v>
      </c>
      <c r="Q1885" t="n">
        <v>35</v>
      </c>
      <c r="R1885" t="n">
        <v>0.1653</v>
      </c>
      <c r="S1885">
        <f>IMAGE("https://mitra.stanford.edu/kundaje/oak/projects/neuro-variants/variant_position/credible/roussos_2024/variant_figures/roussos_2024.childhood.Astrocyte/rs199515_count_position.png",4,220,900)</f>
        <v/>
      </c>
      <c r="T1885">
        <f>IMAGE("https://mitra.stanford.edu/kundaje/oak/projects/neuro-variants/variant_position/credible/roussos_2024/variant_figures/roussos_2024.childhood.Astrocyte/rs199515_profile_position.png",4,220,900)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-0.0385714934</v>
      </c>
      <c r="G1886" t="n">
        <v>0.2989728987224636</v>
      </c>
      <c r="H1886" t="n">
        <v>0.0121760379649931</v>
      </c>
      <c r="I1886" t="n">
        <v>0.5028196838354867</v>
      </c>
      <c r="J1886" t="n">
        <v>0.1319304191187133</v>
      </c>
      <c r="K1886" t="n">
        <v>0.2793270735167407</v>
      </c>
      <c r="L1886" t="b">
        <v>0</v>
      </c>
      <c r="M1886" t="b">
        <v>0</v>
      </c>
      <c r="N1886" t="inlineStr">
        <is>
          <t>ref</t>
        </is>
      </c>
      <c r="O1886" t="n">
        <v>-100</v>
      </c>
      <c r="P1886" t="n">
        <v>0.02173</v>
      </c>
      <c r="Q1886" t="n">
        <v>-80</v>
      </c>
      <c r="R1886" t="n">
        <v>0.098</v>
      </c>
      <c r="S1886">
        <f>IMAGE("https://mitra.stanford.edu/kundaje/oak/projects/neuro-variants/variant_position/credible/roussos_2024/variant_figures/roussos_2024.childhood.Astrocyte/rs199504_count_position.png",4,220,900)</f>
        <v/>
      </c>
      <c r="T1886">
        <f>IMAGE("https://mitra.stanford.edu/kundaje/oak/projects/neuro-variants/variant_position/credible/roussos_2024/variant_figures/roussos_2024.childhood.Astrocyte/rs199504_profile_position.png",4,220,900)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0.037584588</v>
      </c>
      <c r="G1887" t="n">
        <v>0.2993114120354011</v>
      </c>
      <c r="H1887" t="n">
        <v>0.0367567317260859</v>
      </c>
      <c r="I1887" t="n">
        <v>0.0134033194140258</v>
      </c>
      <c r="J1887" t="n">
        <v>0.105841405051407</v>
      </c>
      <c r="K1887" t="n">
        <v>0.3195497901986526</v>
      </c>
      <c r="L1887" t="b">
        <v>1</v>
      </c>
      <c r="M1887" t="b">
        <v>0</v>
      </c>
      <c r="N1887" t="inlineStr">
        <is>
          <t>alt</t>
        </is>
      </c>
      <c r="O1887" t="n">
        <v>95</v>
      </c>
      <c r="P1887" t="n">
        <v>0.03363</v>
      </c>
      <c r="Q1887" t="n">
        <v>-55</v>
      </c>
      <c r="R1887" t="n">
        <v>0.153</v>
      </c>
      <c r="S1887">
        <f>IMAGE("https://mitra.stanford.edu/kundaje/oak/projects/neuro-variants/variant_position/credible/roussos_2024/variant_figures/roussos_2024.childhood.Astrocyte/rs199503_count_position.png",4,220,900)</f>
        <v/>
      </c>
      <c r="T1887">
        <f>IMAGE("https://mitra.stanford.edu/kundaje/oak/projects/neuro-variants/variant_position/credible/roussos_2024/variant_figures/roussos_2024.childhood.Astrocyte/rs199503_profile_position.png",4,220,900)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0.10166378</v>
      </c>
      <c r="G1888" t="n">
        <v>0.0774804013175647</v>
      </c>
      <c r="H1888" t="n">
        <v>0.0299980158295768</v>
      </c>
      <c r="I1888" t="n">
        <v>0.0312093728378173</v>
      </c>
      <c r="J1888" t="n">
        <v>0.2183233724897529</v>
      </c>
      <c r="K1888" t="n">
        <v>0.1897822442595368</v>
      </c>
      <c r="L1888" t="b">
        <v>0</v>
      </c>
      <c r="M1888" t="b">
        <v>0</v>
      </c>
      <c r="N1888" t="inlineStr">
        <is>
          <t>alt</t>
        </is>
      </c>
      <c r="O1888" t="n">
        <v>10</v>
      </c>
      <c r="P1888" t="n">
        <v>0.0004578</v>
      </c>
      <c r="Q1888" t="n">
        <v>50</v>
      </c>
      <c r="R1888" t="n">
        <v>0.1624</v>
      </c>
      <c r="S1888">
        <f>IMAGE("https://mitra.stanford.edu/kundaje/oak/projects/neuro-variants/variant_position/credible/roussos_2024/variant_figures/roussos_2024.childhood.Astrocyte/rs199498_count_position.png",4,220,900)</f>
        <v/>
      </c>
      <c r="T1888">
        <f>IMAGE("https://mitra.stanford.edu/kundaje/oak/projects/neuro-variants/variant_position/credible/roussos_2024/variant_figures/roussos_2024.childhood.Astrocyte/rs199498_profile_position.png",4,220,900)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0.0125774586999999</v>
      </c>
      <c r="G1889" t="n">
        <v>0.5877603673687662</v>
      </c>
      <c r="H1889" t="n">
        <v>0.0108781162512117</v>
      </c>
      <c r="I1889" t="n">
        <v>0.6228180470610245</v>
      </c>
      <c r="J1889" t="n">
        <v>0.0228328486486073</v>
      </c>
      <c r="K1889" t="n">
        <v>0.5760688425963871</v>
      </c>
      <c r="L1889" t="b">
        <v>0</v>
      </c>
      <c r="M1889" t="b">
        <v>0</v>
      </c>
      <c r="N1889" t="inlineStr">
        <is>
          <t>alt</t>
        </is>
      </c>
      <c r="O1889" t="n">
        <v>15</v>
      </c>
      <c r="P1889" t="n">
        <v>0.002254</v>
      </c>
      <c r="Q1889" t="n">
        <v>55</v>
      </c>
      <c r="R1889" t="n">
        <v>0.05408</v>
      </c>
      <c r="S1889">
        <f>IMAGE("https://mitra.stanford.edu/kundaje/oak/projects/neuro-variants/variant_position/credible/roussos_2024/variant_figures/roussos_2024.childhood.Astrocyte/rs4968282_count_position.png",4,220,900)</f>
        <v/>
      </c>
      <c r="T1889">
        <f>IMAGE("https://mitra.stanford.edu/kundaje/oak/projects/neuro-variants/variant_position/credible/roussos_2024/variant_figures/roussos_2024.childhood.Astrocyte/rs4968282_profile_position.png",4,220,900)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0.278667318</v>
      </c>
      <c r="G1890" t="n">
        <v>0.0069619905721552</v>
      </c>
      <c r="H1890" t="n">
        <v>0.0385301315056475</v>
      </c>
      <c r="I1890" t="n">
        <v>0.0112175261630398</v>
      </c>
      <c r="J1890" t="n">
        <v>0.0681443826185187</v>
      </c>
      <c r="K1890" t="n">
        <v>0.3981601502109314</v>
      </c>
      <c r="L1890" t="b">
        <v>1</v>
      </c>
      <c r="M1890" t="b">
        <v>1</v>
      </c>
      <c r="N1890" t="inlineStr">
        <is>
          <t>alt</t>
        </is>
      </c>
      <c r="O1890" t="n">
        <v>-95</v>
      </c>
      <c r="P1890" t="n">
        <v>0.01741</v>
      </c>
      <c r="Q1890" t="n">
        <v>-95</v>
      </c>
      <c r="R1890" t="n">
        <v>0.2063</v>
      </c>
      <c r="S1890">
        <f>IMAGE("https://mitra.stanford.edu/kundaje/oak/projects/neuro-variants/variant_position/credible/roussos_2024/variant_figures/roussos_2024.childhood.Astrocyte/rs34316808_count_position.png",4,220,900)</f>
        <v/>
      </c>
      <c r="T1890">
        <f>IMAGE("https://mitra.stanford.edu/kundaje/oak/projects/neuro-variants/variant_position/credible/roussos_2024/variant_figures/roussos_2024.childhood.Astrocyte/rs34316808_profile_position.png",4,220,900)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-0.206828298</v>
      </c>
      <c r="G1891" t="n">
        <v>0.0152258983826135</v>
      </c>
      <c r="H1891" t="n">
        <v>0.0303318418396237</v>
      </c>
      <c r="I1891" t="n">
        <v>0.0292320358950248</v>
      </c>
      <c r="J1891" t="n">
        <v>0.3379641714944318</v>
      </c>
      <c r="K1891" t="n">
        <v>0.1124333474204016</v>
      </c>
      <c r="L1891" t="b">
        <v>1</v>
      </c>
      <c r="M1891" t="b">
        <v>0</v>
      </c>
      <c r="N1891" t="inlineStr">
        <is>
          <t>ref</t>
        </is>
      </c>
      <c r="O1891" t="n">
        <v>100</v>
      </c>
      <c r="P1891" t="n">
        <v>0.01756</v>
      </c>
      <c r="Q1891" t="n">
        <v>-90</v>
      </c>
      <c r="R1891" t="n">
        <v>0.0706</v>
      </c>
      <c r="S1891">
        <f>IMAGE("https://mitra.stanford.edu/kundaje/oak/projects/neuro-variants/variant_position/credible/roussos_2024/variant_figures/roussos_2024.childhood.Astrocyte/rs4530197_count_position.png",4,220,900)</f>
        <v/>
      </c>
      <c r="T1891">
        <f>IMAGE("https://mitra.stanford.edu/kundaje/oak/projects/neuro-variants/variant_position/credible/roussos_2024/variant_figures/roussos_2024.childhood.Astrocyte/rs4530197_profile_position.png",4,220,900)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-0.00083883874</v>
      </c>
      <c r="G1892" t="n">
        <v>0.4334282317567039</v>
      </c>
      <c r="H1892" t="n">
        <v>0.0147134635860014</v>
      </c>
      <c r="I1892" t="n">
        <v>0.3131729506843926</v>
      </c>
      <c r="J1892" t="n">
        <v>0.0402502041782112</v>
      </c>
      <c r="K1892" t="n">
        <v>0.4991933453224019</v>
      </c>
      <c r="L1892" t="b">
        <v>0</v>
      </c>
      <c r="M1892" t="b">
        <v>0</v>
      </c>
      <c r="N1892" t="inlineStr">
        <is>
          <t>ref</t>
        </is>
      </c>
      <c r="O1892" t="n">
        <v>95</v>
      </c>
      <c r="P1892" t="n">
        <v>0.01195</v>
      </c>
      <c r="Q1892" t="n">
        <v>90</v>
      </c>
      <c r="R1892" t="n">
        <v>0.1235</v>
      </c>
      <c r="S1892">
        <f>IMAGE("https://mitra.stanford.edu/kundaje/oak/projects/neuro-variants/variant_position/credible/roussos_2024/variant_figures/roussos_2024.childhood.Astrocyte/rs12603880_count_position.png",4,220,900)</f>
        <v/>
      </c>
      <c r="T1892">
        <f>IMAGE("https://mitra.stanford.edu/kundaje/oak/projects/neuro-variants/variant_position/credible/roussos_2024/variant_figures/roussos_2024.childhood.Astrocyte/rs12603880_profile_position.png",4,220,900)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-0.0243206226599999</v>
      </c>
      <c r="G1893" t="n">
        <v>0.4043890181656953</v>
      </c>
      <c r="H1893" t="n">
        <v>0.0152513232081126</v>
      </c>
      <c r="I1893" t="n">
        <v>0.2875323811686055</v>
      </c>
      <c r="J1893" t="n">
        <v>0.2646119087418805</v>
      </c>
      <c r="K1893" t="n">
        <v>0.1533636855439078</v>
      </c>
      <c r="L1893" t="b">
        <v>0</v>
      </c>
      <c r="M1893" t="b">
        <v>0</v>
      </c>
      <c r="N1893" t="inlineStr">
        <is>
          <t>ref</t>
        </is>
      </c>
      <c r="O1893" t="n">
        <v>0</v>
      </c>
      <c r="P1893" t="n">
        <v>0</v>
      </c>
      <c r="Q1893" t="n">
        <v>-25</v>
      </c>
      <c r="R1893" t="n">
        <v>0.06525</v>
      </c>
      <c r="S1893">
        <f>IMAGE("https://mitra.stanford.edu/kundaje/oak/projects/neuro-variants/variant_position/credible/roussos_2024/variant_figures/roussos_2024.childhood.Astrocyte/rs4305_count_position.png",4,220,900)</f>
        <v/>
      </c>
      <c r="T1893">
        <f>IMAGE("https://mitra.stanford.edu/kundaje/oak/projects/neuro-variants/variant_position/credible/roussos_2024/variant_figures/roussos_2024.childhood.Astrocyte/rs4305_profile_position.png",4,220,900)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-0.00458329706</v>
      </c>
      <c r="G1894" t="n">
        <v>0.7556812381594435</v>
      </c>
      <c r="H1894" t="n">
        <v>0.043618211449748</v>
      </c>
      <c r="I1894" t="n">
        <v>0.0068540898509</v>
      </c>
      <c r="J1894" t="n">
        <v>0.0117828001801347</v>
      </c>
      <c r="K1894" t="n">
        <v>0.690446064931744</v>
      </c>
      <c r="L1894" t="b">
        <v>1</v>
      </c>
      <c r="M1894" t="b">
        <v>0</v>
      </c>
      <c r="N1894" t="inlineStr">
        <is>
          <t>ref</t>
        </is>
      </c>
      <c r="O1894" t="n">
        <v>25</v>
      </c>
      <c r="P1894" t="n">
        <v>0.013306</v>
      </c>
      <c r="Q1894" t="n">
        <v>-50</v>
      </c>
      <c r="R1894" t="n">
        <v>0.01868</v>
      </c>
      <c r="S1894">
        <f>IMAGE("https://mitra.stanford.edu/kundaje/oak/projects/neuro-variants/variant_position/credible/roussos_2024/variant_figures/roussos_2024.childhood.Astrocyte/rs72855201_count_position.png",4,220,900)</f>
        <v/>
      </c>
      <c r="T1894">
        <f>IMAGE("https://mitra.stanford.edu/kundaje/oak/projects/neuro-variants/variant_position/credible/roussos_2024/variant_figures/roussos_2024.childhood.Astrocyte/rs72855201_profile_position.png",4,220,900)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-0.0482056775999999</v>
      </c>
      <c r="G1895" t="n">
        <v>0.2316537634217352</v>
      </c>
      <c r="H1895" t="n">
        <v>0.0165291303243399</v>
      </c>
      <c r="I1895" t="n">
        <v>0.2314554210559899</v>
      </c>
      <c r="J1895" t="n">
        <v>0.07164556189080459</v>
      </c>
      <c r="K1895" t="n">
        <v>0.4002394435418855</v>
      </c>
      <c r="L1895" t="b">
        <v>0</v>
      </c>
      <c r="M1895" t="b">
        <v>0</v>
      </c>
      <c r="N1895" t="inlineStr">
        <is>
          <t>ref</t>
        </is>
      </c>
      <c r="O1895" t="n">
        <v>100</v>
      </c>
      <c r="P1895" t="n">
        <v>0.003365</v>
      </c>
      <c r="Q1895" t="n">
        <v>-75</v>
      </c>
      <c r="R1895" t="n">
        <v>0.07543999999999999</v>
      </c>
      <c r="S1895">
        <f>IMAGE("https://mitra.stanford.edu/kundaje/oak/projects/neuro-variants/variant_position/credible/roussos_2024/variant_figures/roussos_2024.childhood.Astrocyte/rs114177791_count_position.png",4,220,900)</f>
        <v/>
      </c>
      <c r="T1895">
        <f>IMAGE("https://mitra.stanford.edu/kundaje/oak/projects/neuro-variants/variant_position/credible/roussos_2024/variant_figures/roussos_2024.childhood.Astrocyte/rs114177791_profile_position.png",4,220,900)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-0.0354940222</v>
      </c>
      <c r="G1896" t="n">
        <v>0.3326914189174644</v>
      </c>
      <c r="H1896" t="n">
        <v>0.0114257958173703</v>
      </c>
      <c r="I1896" t="n">
        <v>0.5689259189191189</v>
      </c>
      <c r="J1896" t="n">
        <v>0.0247067084945768</v>
      </c>
      <c r="K1896" t="n">
        <v>0.565421100219772</v>
      </c>
      <c r="L1896" t="b">
        <v>0</v>
      </c>
      <c r="M1896" t="b">
        <v>0</v>
      </c>
      <c r="N1896" t="inlineStr">
        <is>
          <t>ref</t>
        </is>
      </c>
      <c r="O1896" t="n">
        <v>-100</v>
      </c>
      <c r="P1896" t="n">
        <v>0.002129</v>
      </c>
      <c r="Q1896" t="n">
        <v>60</v>
      </c>
      <c r="R1896" t="n">
        <v>0.03284</v>
      </c>
      <c r="S1896">
        <f>IMAGE("https://mitra.stanford.edu/kundaje/oak/projects/neuro-variants/variant_position/credible/roussos_2024/variant_figures/roussos_2024.childhood.Astrocyte/rs11665120_count_position.png",4,220,900)</f>
        <v/>
      </c>
      <c r="T1896">
        <f>IMAGE("https://mitra.stanford.edu/kundaje/oak/projects/neuro-variants/variant_position/credible/roussos_2024/variant_figures/roussos_2024.childhood.Astrocyte/rs11665120_profile_position.png",4,220,900)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0.0018034357599999</v>
      </c>
      <c r="G1897" t="n">
        <v>0.7384970252713083</v>
      </c>
      <c r="H1897" t="n">
        <v>0.009074244962335901</v>
      </c>
      <c r="I1897" t="n">
        <v>0.7865712087135666</v>
      </c>
      <c r="J1897" t="n">
        <v>6.869547296832525e-05</v>
      </c>
      <c r="K1897" t="n">
        <v>0.9914739257261356</v>
      </c>
      <c r="L1897" t="b">
        <v>0</v>
      </c>
      <c r="M1897" t="b">
        <v>0</v>
      </c>
      <c r="N1897" t="inlineStr">
        <is>
          <t>alt</t>
        </is>
      </c>
      <c r="O1897" t="n">
        <v>100</v>
      </c>
      <c r="P1897" t="n">
        <v>0.03967</v>
      </c>
      <c r="Q1897" t="n">
        <v>-45</v>
      </c>
      <c r="R1897" t="n">
        <v>0.09093999999999999</v>
      </c>
      <c r="S1897">
        <f>IMAGE("https://mitra.stanford.edu/kundaje/oak/projects/neuro-variants/variant_position/credible/roussos_2024/variant_figures/roussos_2024.childhood.Astrocyte/rs113895388_count_position.png",4,220,900)</f>
        <v/>
      </c>
      <c r="T1897">
        <f>IMAGE("https://mitra.stanford.edu/kundaje/oak/projects/neuro-variants/variant_position/credible/roussos_2024/variant_figures/roussos_2024.childhood.Astrocyte/rs113895388_profile_position.png",4,220,900)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-0.0169490484599999</v>
      </c>
      <c r="G1898" t="n">
        <v>0.5876585904947029</v>
      </c>
      <c r="H1898" t="n">
        <v>0.0180595012523549</v>
      </c>
      <c r="I1898" t="n">
        <v>0.1728644196283012</v>
      </c>
      <c r="J1898" t="n">
        <v>0.0875905444497873</v>
      </c>
      <c r="K1898" t="n">
        <v>0.3483903541887604</v>
      </c>
      <c r="L1898" t="b">
        <v>0</v>
      </c>
      <c r="M1898" t="b">
        <v>0</v>
      </c>
      <c r="N1898" t="inlineStr">
        <is>
          <t>ref</t>
        </is>
      </c>
      <c r="O1898" t="n">
        <v>5</v>
      </c>
      <c r="P1898" t="n">
        <v>0.000824</v>
      </c>
      <c r="Q1898" t="n">
        <v>-100</v>
      </c>
      <c r="R1898" t="n">
        <v>0.1394</v>
      </c>
      <c r="S1898">
        <f>IMAGE("https://mitra.stanford.edu/kundaje/oak/projects/neuro-variants/variant_position/credible/roussos_2024/variant_figures/roussos_2024.childhood.Astrocyte/rs188275234_count_position.png",4,220,900)</f>
        <v/>
      </c>
      <c r="T1898">
        <f>IMAGE("https://mitra.stanford.edu/kundaje/oak/projects/neuro-variants/variant_position/credible/roussos_2024/variant_figures/roussos_2024.childhood.Astrocyte/rs188275234_profile_position.png",4,220,900)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0.0030833103</v>
      </c>
      <c r="G1899" t="n">
        <v>0.6812514136077739</v>
      </c>
      <c r="H1899" t="n">
        <v>0.034637284459533</v>
      </c>
      <c r="I1899" t="n">
        <v>0.0168559846937694</v>
      </c>
      <c r="J1899" t="n">
        <v>0.0032752474945233</v>
      </c>
      <c r="K1899" t="n">
        <v>0.8295320744673688</v>
      </c>
      <c r="L1899" t="b">
        <v>0</v>
      </c>
      <c r="M1899" t="b">
        <v>0</v>
      </c>
      <c r="N1899" t="inlineStr">
        <is>
          <t>alt</t>
        </is>
      </c>
      <c r="O1899" t="n">
        <v>-95</v>
      </c>
      <c r="P1899" t="n">
        <v>0.1044</v>
      </c>
      <c r="Q1899" t="n">
        <v>-60</v>
      </c>
      <c r="R1899" t="n">
        <v>0.2241</v>
      </c>
      <c r="S1899">
        <f>IMAGE("https://mitra.stanford.edu/kundaje/oak/projects/neuro-variants/variant_position/credible/roussos_2024/variant_figures/roussos_2024.childhood.Astrocyte/rs11083369_count_position.png",4,220,900)</f>
        <v/>
      </c>
      <c r="T1899">
        <f>IMAGE("https://mitra.stanford.edu/kundaje/oak/projects/neuro-variants/variant_position/credible/roussos_2024/variant_figures/roussos_2024.childhood.Astrocyte/rs11083369_profile_position.png",4,220,900)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-0.01988898366</v>
      </c>
      <c r="G1900" t="n">
        <v>0.5150192467802699</v>
      </c>
      <c r="H1900" t="n">
        <v>0.0160557270811395</v>
      </c>
      <c r="I1900" t="n">
        <v>0.2483886163535502</v>
      </c>
      <c r="J1900" t="n">
        <v>0.0116728874233854</v>
      </c>
      <c r="K1900" t="n">
        <v>0.6752238604855225</v>
      </c>
      <c r="L1900" t="b">
        <v>0</v>
      </c>
      <c r="M1900" t="b">
        <v>0</v>
      </c>
      <c r="N1900" t="inlineStr">
        <is>
          <t>ref</t>
        </is>
      </c>
      <c r="O1900" t="n">
        <v>25</v>
      </c>
      <c r="P1900" t="n">
        <v>0.03552</v>
      </c>
      <c r="Q1900" t="n">
        <v>60</v>
      </c>
      <c r="R1900" t="n">
        <v>0.1321</v>
      </c>
      <c r="S1900">
        <f>IMAGE("https://mitra.stanford.edu/kundaje/oak/projects/neuro-variants/variant_position/credible/roussos_2024/variant_figures/roussos_2024.childhood.Astrocyte/rs7505145_count_position.png",4,220,900)</f>
        <v/>
      </c>
      <c r="T1900">
        <f>IMAGE("https://mitra.stanford.edu/kundaje/oak/projects/neuro-variants/variant_position/credible/roussos_2024/variant_figures/roussos_2024.childhood.Astrocyte/rs7505145_profile_position.png",4,220,900)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-0.01656195842</v>
      </c>
      <c r="G1901" t="n">
        <v>0.5683124885216522</v>
      </c>
      <c r="H1901" t="n">
        <v>0.008347021505540999</v>
      </c>
      <c r="I1901" t="n">
        <v>0.8633138634499009</v>
      </c>
      <c r="J1901" t="n">
        <v>0.0012945280239365</v>
      </c>
      <c r="K1901" t="n">
        <v>0.8994322453179739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0.00859</v>
      </c>
      <c r="Q1901" t="n">
        <v>20</v>
      </c>
      <c r="R1901" t="n">
        <v>0.02168</v>
      </c>
      <c r="S1901">
        <f>IMAGE("https://mitra.stanford.edu/kundaje/oak/projects/neuro-variants/variant_position/credible/roussos_2024/variant_figures/roussos_2024.childhood.Astrocyte/rs62099231_count_position.png",4,220,900)</f>
        <v/>
      </c>
      <c r="T1901">
        <f>IMAGE("https://mitra.stanford.edu/kundaje/oak/projects/neuro-variants/variant_position/credible/roussos_2024/variant_figures/roussos_2024.childhood.Astrocyte/rs62099231_profile_position.png",4,220,900)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0.0811700588</v>
      </c>
      <c r="G1902" t="n">
        <v>0.1290453114663203</v>
      </c>
      <c r="H1902" t="n">
        <v>0.0202786154693405</v>
      </c>
      <c r="I1902" t="n">
        <v>0.1211077872206624</v>
      </c>
      <c r="J1902" t="n">
        <v>0.0005510903498125</v>
      </c>
      <c r="K1902" t="n">
        <v>0.9665560137115168</v>
      </c>
      <c r="L1902" t="b">
        <v>0</v>
      </c>
      <c r="M1902" t="b">
        <v>0</v>
      </c>
      <c r="N1902" t="inlineStr">
        <is>
          <t>alt</t>
        </is>
      </c>
      <c r="O1902" t="n">
        <v>-95</v>
      </c>
      <c r="P1902" t="n">
        <v>0.03079</v>
      </c>
      <c r="Q1902" t="n">
        <v>95</v>
      </c>
      <c r="R1902" t="n">
        <v>0.08545</v>
      </c>
      <c r="S1902">
        <f>IMAGE("https://mitra.stanford.edu/kundaje/oak/projects/neuro-variants/variant_position/credible/roussos_2024/variant_figures/roussos_2024.childhood.Astrocyte/rs4100041_count_position.png",4,220,900)</f>
        <v/>
      </c>
      <c r="T1902">
        <f>IMAGE("https://mitra.stanford.edu/kundaje/oak/projects/neuro-variants/variant_position/credible/roussos_2024/variant_figures/roussos_2024.childhood.Astrocyte/rs4100041_profile_position.png",4,220,900)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-0.036399175</v>
      </c>
      <c r="G1903" t="n">
        <v>0.3195144526219358</v>
      </c>
      <c r="H1903" t="n">
        <v>0.0571815495114449</v>
      </c>
      <c r="I1903" t="n">
        <v>0.0024992803312774</v>
      </c>
      <c r="J1903" t="n">
        <v>0.0089479669956416</v>
      </c>
      <c r="K1903" t="n">
        <v>0.7209823444370367</v>
      </c>
      <c r="L1903" t="b">
        <v>0</v>
      </c>
      <c r="M1903" t="b">
        <v>0</v>
      </c>
      <c r="N1903" t="inlineStr">
        <is>
          <t>ref</t>
        </is>
      </c>
      <c r="O1903" t="n">
        <v>-60</v>
      </c>
      <c r="P1903" t="n">
        <v>0.003876</v>
      </c>
      <c r="Q1903" t="n">
        <v>95</v>
      </c>
      <c r="R1903" t="n">
        <v>0.1909</v>
      </c>
      <c r="S1903">
        <f>IMAGE("https://mitra.stanford.edu/kundaje/oak/projects/neuro-variants/variant_position/credible/roussos_2024/variant_figures/roussos_2024.childhood.Astrocyte/rs77916462_count_position.png",4,220,900)</f>
        <v/>
      </c>
      <c r="T1903">
        <f>IMAGE("https://mitra.stanford.edu/kundaje/oak/projects/neuro-variants/variant_position/credible/roussos_2024/variant_figures/roussos_2024.childhood.Astrocyte/rs77916462_profile_position.png",4,220,900)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-0.0271172003999999</v>
      </c>
      <c r="G1904" t="n">
        <v>0.4246121734813524</v>
      </c>
      <c r="H1904" t="n">
        <v>0.0523970398267596</v>
      </c>
      <c r="I1904" t="n">
        <v>0.0034634061498539</v>
      </c>
      <c r="J1904" t="n">
        <v>0.008971628769664</v>
      </c>
      <c r="K1904" t="n">
        <v>0.7206973410891037</v>
      </c>
      <c r="L1904" t="b">
        <v>0</v>
      </c>
      <c r="M1904" t="b">
        <v>0</v>
      </c>
      <c r="N1904" t="inlineStr">
        <is>
          <t>ref</t>
        </is>
      </c>
      <c r="O1904" t="n">
        <v>-65</v>
      </c>
      <c r="P1904" t="n">
        <v>0.0054</v>
      </c>
      <c r="Q1904" t="n">
        <v>95</v>
      </c>
      <c r="R1904" t="n">
        <v>0.2003</v>
      </c>
      <c r="S1904">
        <f>IMAGE("https://mitra.stanford.edu/kundaje/oak/projects/neuro-variants/variant_position/credible/roussos_2024/variant_figures/roussos_2024.childhood.Astrocyte/rs75048819_count_position.png",4,220,900)</f>
        <v/>
      </c>
      <c r="T1904">
        <f>IMAGE("https://mitra.stanford.edu/kundaje/oak/projects/neuro-variants/variant_position/credible/roussos_2024/variant_figures/roussos_2024.childhood.Astrocyte/rs75048819_profile_position.png",4,220,900)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0.15809383</v>
      </c>
      <c r="G1905" t="n">
        <v>0.032569993498689</v>
      </c>
      <c r="H1905" t="n">
        <v>0.0186254780782732</v>
      </c>
      <c r="I1905" t="n">
        <v>0.1643305130301305</v>
      </c>
      <c r="J1905" t="n">
        <v>0.0912833077633517</v>
      </c>
      <c r="K1905" t="n">
        <v>0.3376942631604231</v>
      </c>
      <c r="L1905" t="b">
        <v>0</v>
      </c>
      <c r="M1905" t="b">
        <v>0</v>
      </c>
      <c r="N1905" t="inlineStr">
        <is>
          <t>alt</t>
        </is>
      </c>
      <c r="O1905" t="n">
        <v>55</v>
      </c>
      <c r="P1905" t="n">
        <v>0.10596</v>
      </c>
      <c r="Q1905" t="n">
        <v>90</v>
      </c>
      <c r="R1905" t="n">
        <v>0.1157</v>
      </c>
      <c r="S1905">
        <f>IMAGE("https://mitra.stanford.edu/kundaje/oak/projects/neuro-variants/variant_position/credible/roussos_2024/variant_figures/roussos_2024.childhood.Astrocyte/rs138740375_count_position.png",4,220,900)</f>
        <v/>
      </c>
      <c r="T1905">
        <f>IMAGE("https://mitra.stanford.edu/kundaje/oak/projects/neuro-variants/variant_position/credible/roussos_2024/variant_figures/roussos_2024.childhood.Astrocyte/rs138740375_profile_position.png",4,220,900)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-0.01436310312</v>
      </c>
      <c r="G1906" t="n">
        <v>0.5466462690156162</v>
      </c>
      <c r="H1906" t="n">
        <v>0.0335395974906319</v>
      </c>
      <c r="I1906" t="n">
        <v>0.0193904868283028</v>
      </c>
      <c r="J1906" t="n">
        <v>0.012677367894789</v>
      </c>
      <c r="K1906" t="n">
        <v>0.6619581622118161</v>
      </c>
      <c r="L1906" t="b">
        <v>1</v>
      </c>
      <c r="M1906" t="b">
        <v>0</v>
      </c>
      <c r="N1906" t="inlineStr">
        <is>
          <t>ref</t>
        </is>
      </c>
      <c r="O1906" t="n">
        <v>100</v>
      </c>
      <c r="P1906" t="n">
        <v>0.00654</v>
      </c>
      <c r="Q1906" t="n">
        <v>-35</v>
      </c>
      <c r="R1906" t="n">
        <v>0.1249</v>
      </c>
      <c r="S1906">
        <f>IMAGE("https://mitra.stanford.edu/kundaje/oak/projects/neuro-variants/variant_position/credible/roussos_2024/variant_figures/roussos_2024.childhood.Astrocyte/rs11874716_count_position.png",4,220,900)</f>
        <v/>
      </c>
      <c r="T1906">
        <f>IMAGE("https://mitra.stanford.edu/kundaje/oak/projects/neuro-variants/variant_position/credible/roussos_2024/variant_figures/roussos_2024.childhood.Astrocyte/rs11874716_profile_position.png",4,220,900)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-0.0613559136</v>
      </c>
      <c r="G1907" t="n">
        <v>0.185751609005625</v>
      </c>
      <c r="H1907" t="n">
        <v>0.009966452343141001</v>
      </c>
      <c r="I1907" t="n">
        <v>0.7188993162301257</v>
      </c>
      <c r="J1907" t="n">
        <v>0.0370306763450954</v>
      </c>
      <c r="K1907" t="n">
        <v>0.5250773811243493</v>
      </c>
      <c r="L1907" t="b">
        <v>0</v>
      </c>
      <c r="M1907" t="b">
        <v>0</v>
      </c>
      <c r="N1907" t="inlineStr">
        <is>
          <t>ref</t>
        </is>
      </c>
      <c r="O1907" t="n">
        <v>30</v>
      </c>
      <c r="P1907" t="n">
        <v>0.003181</v>
      </c>
      <c r="Q1907" t="n">
        <v>-90</v>
      </c>
      <c r="R1907" t="n">
        <v>0.06696000000000001</v>
      </c>
      <c r="S1907">
        <f>IMAGE("https://mitra.stanford.edu/kundaje/oak/projects/neuro-variants/variant_position/credible/roussos_2024/variant_figures/roussos_2024.childhood.Astrocyte/rs4801131_count_position.png",4,220,900)</f>
        <v/>
      </c>
      <c r="T1907">
        <f>IMAGE("https://mitra.stanford.edu/kundaje/oak/projects/neuro-variants/variant_position/credible/roussos_2024/variant_figures/roussos_2024.childhood.Astrocyte/rs4801131_profile_position.png",4,220,900)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-0.0298815349999999</v>
      </c>
      <c r="G1908" t="n">
        <v>0.2099902979522941</v>
      </c>
      <c r="H1908" t="n">
        <v>0.0212539868561977</v>
      </c>
      <c r="I1908" t="n">
        <v>0.1054236829094911</v>
      </c>
      <c r="J1908" t="n">
        <v>0.1165777441933243</v>
      </c>
      <c r="K1908" t="n">
        <v>0.3168462264947689</v>
      </c>
      <c r="L1908" t="b">
        <v>0</v>
      </c>
      <c r="M1908" t="b">
        <v>0</v>
      </c>
      <c r="N1908" t="inlineStr">
        <is>
          <t>ref</t>
        </is>
      </c>
      <c r="O1908" t="n">
        <v>-60</v>
      </c>
      <c r="P1908" t="n">
        <v>0.02777</v>
      </c>
      <c r="Q1908" t="n">
        <v>-85</v>
      </c>
      <c r="R1908" t="n">
        <v>0.0708</v>
      </c>
      <c r="S1908">
        <f>IMAGE("https://mitra.stanford.edu/kundaje/oak/projects/neuro-variants/variant_position/credible/roussos_2024/variant_figures/roussos_2024.childhood.Astrocyte/rs4589643_count_position.png",4,220,900)</f>
        <v/>
      </c>
      <c r="T1908">
        <f>IMAGE("https://mitra.stanford.edu/kundaje/oak/projects/neuro-variants/variant_position/credible/roussos_2024/variant_figures/roussos_2024.childhood.Astrocyte/rs4589643_profile_position.png",4,220,900)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0.0270923498</v>
      </c>
      <c r="G1909" t="n">
        <v>0.4154542111277672</v>
      </c>
      <c r="H1909" t="n">
        <v>0.0111014756229223</v>
      </c>
      <c r="I1909" t="n">
        <v>0.6054727945120728</v>
      </c>
      <c r="J1909" t="n">
        <v>0.0001511300405303</v>
      </c>
      <c r="K1909" t="n">
        <v>0.9823960173072744</v>
      </c>
      <c r="L1909" t="b">
        <v>0</v>
      </c>
      <c r="M1909" t="b">
        <v>0</v>
      </c>
      <c r="N1909" t="inlineStr">
        <is>
          <t>alt</t>
        </is>
      </c>
      <c r="O1909" t="n">
        <v>90</v>
      </c>
      <c r="P1909" t="n">
        <v>0.00225</v>
      </c>
      <c r="Q1909" t="n">
        <v>-100</v>
      </c>
      <c r="R1909" t="n">
        <v>0.08416999999999999</v>
      </c>
      <c r="S1909">
        <f>IMAGE("https://mitra.stanford.edu/kundaje/oak/projects/neuro-variants/variant_position/credible/roussos_2024/variant_figures/roussos_2024.childhood.Astrocyte/rs4608411_count_position.png",4,220,900)</f>
        <v/>
      </c>
      <c r="T1909">
        <f>IMAGE("https://mitra.stanford.edu/kundaje/oak/projects/neuro-variants/variant_position/credible/roussos_2024/variant_figures/roussos_2024.childhood.Astrocyte/rs4608411_profile_position.png",4,220,900)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-0.1314660636</v>
      </c>
      <c r="G1910" t="n">
        <v>0.0430940711509223</v>
      </c>
      <c r="H1910" t="n">
        <v>0.0257248904991808</v>
      </c>
      <c r="I1910" t="n">
        <v>0.0539092394921277</v>
      </c>
      <c r="J1910" t="n">
        <v>0.06397685725843991</v>
      </c>
      <c r="K1910" t="n">
        <v>0.4087676621934192</v>
      </c>
      <c r="L1910" t="b">
        <v>0</v>
      </c>
      <c r="M1910" t="b">
        <v>0</v>
      </c>
      <c r="N1910" t="inlineStr">
        <is>
          <t>ref</t>
        </is>
      </c>
      <c r="O1910" t="n">
        <v>-100</v>
      </c>
      <c r="P1910" t="n">
        <v>0.001335</v>
      </c>
      <c r="Q1910" t="n">
        <v>-100</v>
      </c>
      <c r="R1910" t="n">
        <v>0.04083</v>
      </c>
      <c r="S1910">
        <f>IMAGE("https://mitra.stanford.edu/kundaje/oak/projects/neuro-variants/variant_position/credible/roussos_2024/variant_figures/roussos_2024.childhood.Astrocyte/rs78468782_count_position.png",4,220,900)</f>
        <v/>
      </c>
      <c r="T1910">
        <f>IMAGE("https://mitra.stanford.edu/kundaje/oak/projects/neuro-variants/variant_position/credible/roussos_2024/variant_figures/roussos_2024.childhood.Astrocyte/rs78468782_profile_position.png",4,220,900)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-0.0526655482</v>
      </c>
      <c r="G1911" t="n">
        <v>0.2020751227208204</v>
      </c>
      <c r="H1911" t="n">
        <v>0.0170544852900978</v>
      </c>
      <c r="I1911" t="n">
        <v>0.2075716458566982</v>
      </c>
      <c r="J1911" t="n">
        <v>0.0159365864456198</v>
      </c>
      <c r="K1911" t="n">
        <v>0.6733640346277286</v>
      </c>
      <c r="L1911" t="b">
        <v>0</v>
      </c>
      <c r="M1911" t="b">
        <v>0</v>
      </c>
      <c r="N1911" t="inlineStr">
        <is>
          <t>ref</t>
        </is>
      </c>
      <c r="O1911" t="n">
        <v>-5</v>
      </c>
      <c r="P1911" t="n">
        <v>0.0008907</v>
      </c>
      <c r="Q1911" t="n">
        <v>-90</v>
      </c>
      <c r="R1911" t="n">
        <v>0.1659</v>
      </c>
      <c r="S1911">
        <f>IMAGE("https://mitra.stanford.edu/kundaje/oak/projects/neuro-variants/variant_position/credible/roussos_2024/variant_figures/roussos_2024.childhood.Astrocyte/rs79694868_count_position.png",4,220,900)</f>
        <v/>
      </c>
      <c r="T1911">
        <f>IMAGE("https://mitra.stanford.edu/kundaje/oak/projects/neuro-variants/variant_position/credible/roussos_2024/variant_figures/roussos_2024.childhood.Astrocyte/rs79694868_profile_position.png",4,220,900)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-0.150935854</v>
      </c>
      <c r="G1912" t="n">
        <v>0.0318549561497292</v>
      </c>
      <c r="H1912" t="n">
        <v>0.0185439267115594</v>
      </c>
      <c r="I1912" t="n">
        <v>0.1592367769824088</v>
      </c>
      <c r="J1912" t="n">
        <v>0.0032508224374679</v>
      </c>
      <c r="K1912" t="n">
        <v>0.8270497201827118</v>
      </c>
      <c r="L1912" t="b">
        <v>0</v>
      </c>
      <c r="M1912" t="b">
        <v>0</v>
      </c>
      <c r="N1912" t="inlineStr">
        <is>
          <t>ref</t>
        </is>
      </c>
      <c r="O1912" t="n">
        <v>35</v>
      </c>
      <c r="P1912" t="n">
        <v>0.01289</v>
      </c>
      <c r="Q1912" t="n">
        <v>60</v>
      </c>
      <c r="R1912" t="n">
        <v>0.1279</v>
      </c>
      <c r="S1912">
        <f>IMAGE("https://mitra.stanford.edu/kundaje/oak/projects/neuro-variants/variant_position/credible/roussos_2024/variant_figures/roussos_2024.childhood.Astrocyte/rs9953026_count_position.png",4,220,900)</f>
        <v/>
      </c>
      <c r="T1912">
        <f>IMAGE("https://mitra.stanford.edu/kundaje/oak/projects/neuro-variants/variant_position/credible/roussos_2024/variant_figures/roussos_2024.childhood.Astrocyte/rs9953026_profile_position.png",4,220,900)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0.006250625912</v>
      </c>
      <c r="G1913" t="n">
        <v>0.7526411152282955</v>
      </c>
      <c r="H1913" t="n">
        <v>0.0138122746332045</v>
      </c>
      <c r="I1913" t="n">
        <v>0.3739336701004894</v>
      </c>
      <c r="J1913" t="n">
        <v>0.0124796775892468</v>
      </c>
      <c r="K1913" t="n">
        <v>0.6582800940884838</v>
      </c>
      <c r="L1913" t="b">
        <v>0</v>
      </c>
      <c r="M1913" t="b">
        <v>0</v>
      </c>
      <c r="N1913" t="inlineStr">
        <is>
          <t>alt</t>
        </is>
      </c>
      <c r="O1913" t="n">
        <v>-20</v>
      </c>
      <c r="P1913" t="n">
        <v>0.001221</v>
      </c>
      <c r="Q1913" t="n">
        <v>-25</v>
      </c>
      <c r="R1913" t="n">
        <v>0.04327</v>
      </c>
      <c r="S1913">
        <f>IMAGE("https://mitra.stanford.edu/kundaje/oak/projects/neuro-variants/variant_position/credible/roussos_2024/variant_figures/roussos_2024.childhood.Astrocyte/rs74776973_count_position.png",4,220,900)</f>
        <v/>
      </c>
      <c r="T1913">
        <f>IMAGE("https://mitra.stanford.edu/kundaje/oak/projects/neuro-variants/variant_position/credible/roussos_2024/variant_figures/roussos_2024.childhood.Astrocyte/rs74776973_profile_position.png",4,220,900)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-0.0062562928999999</v>
      </c>
      <c r="G1914" t="n">
        <v>0.801389043204336</v>
      </c>
      <c r="H1914" t="n">
        <v>0.025124218158458</v>
      </c>
      <c r="I1914" t="n">
        <v>0.0574848520843597</v>
      </c>
      <c r="J1914" t="n">
        <v>0.2458450688099653</v>
      </c>
      <c r="K1914" t="n">
        <v>0.1660355777632475</v>
      </c>
      <c r="L1914" t="b">
        <v>0</v>
      </c>
      <c r="M1914" t="b">
        <v>0</v>
      </c>
      <c r="N1914" t="inlineStr">
        <is>
          <t>ref</t>
        </is>
      </c>
      <c r="O1914" t="n">
        <v>95</v>
      </c>
      <c r="P1914" t="n">
        <v>0.009476</v>
      </c>
      <c r="Q1914" t="n">
        <v>100</v>
      </c>
      <c r="R1914" t="n">
        <v>0.2145</v>
      </c>
      <c r="S1914">
        <f>IMAGE("https://mitra.stanford.edu/kundaje/oak/projects/neuro-variants/variant_position/credible/roussos_2024/variant_figures/roussos_2024.childhood.Astrocyte/rs79467351_count_position.png",4,220,900)</f>
        <v/>
      </c>
      <c r="T1914">
        <f>IMAGE("https://mitra.stanford.edu/kundaje/oak/projects/neuro-variants/variant_position/credible/roussos_2024/variant_figures/roussos_2024.childhood.Astrocyte/rs79467351_profile_position.png",4,220,900)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-0.00467857072</v>
      </c>
      <c r="G1915" t="n">
        <v>0.4578759512244153</v>
      </c>
      <c r="H1915" t="n">
        <v>0.0126609880994176</v>
      </c>
      <c r="I1915" t="n">
        <v>0.4614141576091543</v>
      </c>
      <c r="J1915" t="n">
        <v>0.0181943776571789</v>
      </c>
      <c r="K1915" t="n">
        <v>0.6030655360953506</v>
      </c>
      <c r="L1915" t="b">
        <v>0</v>
      </c>
      <c r="M1915" t="b">
        <v>0</v>
      </c>
      <c r="N1915" t="inlineStr">
        <is>
          <t>ref</t>
        </is>
      </c>
      <c r="O1915" t="n">
        <v>-10</v>
      </c>
      <c r="P1915" t="n">
        <v>0.003262</v>
      </c>
      <c r="Q1915" t="n">
        <v>95</v>
      </c>
      <c r="R1915" t="n">
        <v>0.1069</v>
      </c>
      <c r="S1915">
        <f>IMAGE("https://mitra.stanford.edu/kundaje/oak/projects/neuro-variants/variant_position/credible/roussos_2024/variant_figures/roussos_2024.childhood.Astrocyte/rs76339649_count_position.png",4,220,900)</f>
        <v/>
      </c>
      <c r="T1915">
        <f>IMAGE("https://mitra.stanford.edu/kundaje/oak/projects/neuro-variants/variant_position/credible/roussos_2024/variant_figures/roussos_2024.childhood.Astrocyte/rs76339649_profile_position.png",4,220,900)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0.00711374552</v>
      </c>
      <c r="G1916" t="n">
        <v>0.7716985005458395</v>
      </c>
      <c r="H1916" t="n">
        <v>0.0184253959460517</v>
      </c>
      <c r="I1916" t="n">
        <v>0.1643889788400508</v>
      </c>
      <c r="J1916" t="n">
        <v>0.1090082663552471</v>
      </c>
      <c r="K1916" t="n">
        <v>0.3064548486373802</v>
      </c>
      <c r="L1916" t="b">
        <v>0</v>
      </c>
      <c r="M1916" t="b">
        <v>0</v>
      </c>
      <c r="N1916" t="inlineStr">
        <is>
          <t>alt</t>
        </is>
      </c>
      <c r="O1916" t="n">
        <v>95</v>
      </c>
      <c r="P1916" t="n">
        <v>0.02327</v>
      </c>
      <c r="Q1916" t="n">
        <v>100</v>
      </c>
      <c r="R1916" t="n">
        <v>0.155</v>
      </c>
      <c r="S1916">
        <f>IMAGE("https://mitra.stanford.edu/kundaje/oak/projects/neuro-variants/variant_position/credible/roussos_2024/variant_figures/roussos_2024.childhood.Astrocyte/rs187698281_count_position.png",4,220,900)</f>
        <v/>
      </c>
      <c r="T1916">
        <f>IMAGE("https://mitra.stanford.edu/kundaje/oak/projects/neuro-variants/variant_position/credible/roussos_2024/variant_figures/roussos_2024.childhood.Astrocyte/rs187698281_profile_position.png",4,220,900)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0.0552584501999999</v>
      </c>
      <c r="G1917" t="n">
        <v>0.1855402127363718</v>
      </c>
      <c r="H1917" t="n">
        <v>0.0116475532467018</v>
      </c>
      <c r="I1917" t="n">
        <v>0.5419222479905063</v>
      </c>
      <c r="J1917" t="n">
        <v>0.1106958851411691</v>
      </c>
      <c r="K1917" t="n">
        <v>0.3062703084182156</v>
      </c>
      <c r="L1917" t="b">
        <v>0</v>
      </c>
      <c r="M1917" t="b">
        <v>0</v>
      </c>
      <c r="N1917" t="inlineStr">
        <is>
          <t>alt</t>
        </is>
      </c>
      <c r="O1917" t="n">
        <v>-95</v>
      </c>
      <c r="P1917" t="n">
        <v>0.01315</v>
      </c>
      <c r="Q1917" t="n">
        <v>-100</v>
      </c>
      <c r="R1917" t="n">
        <v>0.2651</v>
      </c>
      <c r="S1917">
        <f>IMAGE("https://mitra.stanford.edu/kundaje/oak/projects/neuro-variants/variant_position/credible/roussos_2024/variant_figures/roussos_2024.childhood.Astrocyte/rs116959829_count_position.png",4,220,900)</f>
        <v/>
      </c>
      <c r="T1917">
        <f>IMAGE("https://mitra.stanford.edu/kundaje/oak/projects/neuro-variants/variant_position/credible/roussos_2024/variant_figures/roussos_2024.childhood.Astrocyte/rs116959829_profile_position.png",4,220,900)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-0.0820738812</v>
      </c>
      <c r="G1918" t="n">
        <v>0.1028178126137989</v>
      </c>
      <c r="H1918" t="n">
        <v>0.0136976732420234</v>
      </c>
      <c r="I1918" t="n">
        <v>0.3883643084138438</v>
      </c>
      <c r="J1918" t="n">
        <v>0.0252715379389831</v>
      </c>
      <c r="K1918" t="n">
        <v>0.5559878581374728</v>
      </c>
      <c r="L1918" t="b">
        <v>0</v>
      </c>
      <c r="M1918" t="b">
        <v>0</v>
      </c>
      <c r="N1918" t="inlineStr">
        <is>
          <t>ref</t>
        </is>
      </c>
      <c r="O1918" t="n">
        <v>60</v>
      </c>
      <c r="P1918" t="n">
        <v>0.03644</v>
      </c>
      <c r="Q1918" t="n">
        <v>100</v>
      </c>
      <c r="R1918" t="n">
        <v>0.2693</v>
      </c>
      <c r="S1918">
        <f>IMAGE("https://mitra.stanford.edu/kundaje/oak/projects/neuro-variants/variant_position/credible/roussos_2024/variant_figures/roussos_2024.childhood.Astrocyte/rs73487018_count_position.png",4,220,900)</f>
        <v/>
      </c>
      <c r="T1918">
        <f>IMAGE("https://mitra.stanford.edu/kundaje/oak/projects/neuro-variants/variant_position/credible/roussos_2024/variant_figures/roussos_2024.childhood.Astrocyte/rs73487018_profile_position.png",4,220,900)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-0.00411886144</v>
      </c>
      <c r="G1919" t="n">
        <v>0.533331643296028</v>
      </c>
      <c r="H1919" t="n">
        <v>0.0248236962380621</v>
      </c>
      <c r="I1919" t="n">
        <v>0.0598953538836503</v>
      </c>
      <c r="J1919" t="n">
        <v>0.0211360704662895</v>
      </c>
      <c r="K1919" t="n">
        <v>0.581915175951748</v>
      </c>
      <c r="L1919" t="b">
        <v>0</v>
      </c>
      <c r="M1919" t="b">
        <v>0</v>
      </c>
      <c r="N1919" t="inlineStr">
        <is>
          <t>ref</t>
        </is>
      </c>
      <c r="O1919" t="n">
        <v>55</v>
      </c>
      <c r="P1919" t="n">
        <v>0.01117</v>
      </c>
      <c r="Q1919" t="n">
        <v>-65</v>
      </c>
      <c r="R1919" t="n">
        <v>0.234</v>
      </c>
      <c r="S1919">
        <f>IMAGE("https://mitra.stanford.edu/kundaje/oak/projects/neuro-variants/variant_position/credible/roussos_2024/variant_figures/roussos_2024.childhood.Astrocyte/rs73487023_count_position.png",4,220,900)</f>
        <v/>
      </c>
      <c r="T1919">
        <f>IMAGE("https://mitra.stanford.edu/kundaje/oak/projects/neuro-variants/variant_position/credible/roussos_2024/variant_figures/roussos_2024.childhood.Astrocyte/rs73487023_profile_position.png",4,220,900)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-0.0265715366</v>
      </c>
      <c r="G1920" t="n">
        <v>0.4319737270274812</v>
      </c>
      <c r="H1920" t="n">
        <v>0.024232236547901</v>
      </c>
      <c r="I1920" t="n">
        <v>0.0664018190335884</v>
      </c>
      <c r="J1920" t="n">
        <v>0.0103791226824818</v>
      </c>
      <c r="K1920" t="n">
        <v>0.683062177037542</v>
      </c>
      <c r="L1920" t="b">
        <v>0</v>
      </c>
      <c r="M1920" t="b">
        <v>0</v>
      </c>
      <c r="N1920" t="inlineStr">
        <is>
          <t>ref</t>
        </is>
      </c>
      <c r="O1920" t="n">
        <v>100</v>
      </c>
      <c r="P1920" t="n">
        <v>0.07446</v>
      </c>
      <c r="Q1920" t="n">
        <v>100</v>
      </c>
      <c r="R1920" t="n">
        <v>0.1981</v>
      </c>
      <c r="S1920">
        <f>IMAGE("https://mitra.stanford.edu/kundaje/oak/projects/neuro-variants/variant_position/credible/roussos_2024/variant_figures/roussos_2024.childhood.Astrocyte/rs150458109_count_position.png",4,220,900)</f>
        <v/>
      </c>
      <c r="T1920">
        <f>IMAGE("https://mitra.stanford.edu/kundaje/oak/projects/neuro-variants/variant_position/credible/roussos_2024/variant_figures/roussos_2024.childhood.Astrocyte/rs150458109_profile_position.png",4,220,900)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0.005203554146</v>
      </c>
      <c r="G1921" t="n">
        <v>0.8106048430372342</v>
      </c>
      <c r="H1921" t="n">
        <v>0.0157155247677095</v>
      </c>
      <c r="I1921" t="n">
        <v>0.2624091709514499</v>
      </c>
      <c r="J1921" t="n">
        <v>0.0450138535870485</v>
      </c>
      <c r="K1921" t="n">
        <v>0.4787445403686802</v>
      </c>
      <c r="L1921" t="b">
        <v>0</v>
      </c>
      <c r="M1921" t="b">
        <v>0</v>
      </c>
      <c r="N1921" t="inlineStr">
        <is>
          <t>alt</t>
        </is>
      </c>
      <c r="O1921" t="n">
        <v>75</v>
      </c>
      <c r="P1921" t="n">
        <v>0.01564</v>
      </c>
      <c r="Q1921" t="n">
        <v>10</v>
      </c>
      <c r="R1921" t="n">
        <v>0.01904</v>
      </c>
      <c r="S1921">
        <f>IMAGE("https://mitra.stanford.edu/kundaje/oak/projects/neuro-variants/variant_position/credible/roussos_2024/variant_figures/roussos_2024.childhood.Astrocyte/rs142300078_count_position.png",4,220,900)</f>
        <v/>
      </c>
      <c r="T1921">
        <f>IMAGE("https://mitra.stanford.edu/kundaje/oak/projects/neuro-variants/variant_position/credible/roussos_2024/variant_figures/roussos_2024.childhood.Astrocyte/rs142300078_profile_position.png",4,220,900)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-0.085686674</v>
      </c>
      <c r="G1922" t="n">
        <v>0.09318613180248669</v>
      </c>
      <c r="H1922" t="n">
        <v>0.0210168971175153</v>
      </c>
      <c r="I1922" t="n">
        <v>0.1111265138345702</v>
      </c>
      <c r="J1922" t="n">
        <v>0.1574408646470197</v>
      </c>
      <c r="K1922" t="n">
        <v>0.2437325442961541</v>
      </c>
      <c r="L1922" t="b">
        <v>0</v>
      </c>
      <c r="M1922" t="b">
        <v>0</v>
      </c>
      <c r="N1922" t="inlineStr">
        <is>
          <t>ref</t>
        </is>
      </c>
      <c r="O1922" t="n">
        <v>-100</v>
      </c>
      <c r="P1922" t="n">
        <v>0.003387</v>
      </c>
      <c r="Q1922" t="n">
        <v>-90</v>
      </c>
      <c r="R1922" t="n">
        <v>0.0813</v>
      </c>
      <c r="S1922">
        <f>IMAGE("https://mitra.stanford.edu/kundaje/oak/projects/neuro-variants/variant_position/credible/roussos_2024/variant_figures/roussos_2024.childhood.Astrocyte/rs146016468_count_position.png",4,220,900)</f>
        <v/>
      </c>
      <c r="T1922">
        <f>IMAGE("https://mitra.stanford.edu/kundaje/oak/projects/neuro-variants/variant_position/credible/roussos_2024/variant_figures/roussos_2024.childhood.Astrocyte/rs146016468_profile_position.png",4,220,900)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-0.003205843354</v>
      </c>
      <c r="G1923" t="n">
        <v>0.8539765754220128</v>
      </c>
      <c r="H1923" t="n">
        <v>0.0235107010093586</v>
      </c>
      <c r="I1923" t="n">
        <v>0.0724634744939235</v>
      </c>
      <c r="J1923" t="n">
        <v>0.0867234549243204</v>
      </c>
      <c r="K1923" t="n">
        <v>0.3462579094295536</v>
      </c>
      <c r="L1923" t="b">
        <v>0</v>
      </c>
      <c r="M1923" t="b">
        <v>0</v>
      </c>
      <c r="N1923" t="inlineStr">
        <is>
          <t>ref</t>
        </is>
      </c>
      <c r="O1923" t="n">
        <v>80</v>
      </c>
      <c r="P1923" t="n">
        <v>0.004875</v>
      </c>
      <c r="Q1923" t="n">
        <v>-25</v>
      </c>
      <c r="R1923" t="n">
        <v>0.034</v>
      </c>
      <c r="S1923">
        <f>IMAGE("https://mitra.stanford.edu/kundaje/oak/projects/neuro-variants/variant_position/credible/roussos_2024/variant_figures/roussos_2024.childhood.Astrocyte/rs1261115_count_position.png",4,220,900)</f>
        <v/>
      </c>
      <c r="T1923">
        <f>IMAGE("https://mitra.stanford.edu/kundaje/oak/projects/neuro-variants/variant_position/credible/roussos_2024/variant_figures/roussos_2024.childhood.Astrocyte/rs1261115_profile_position.png",4,220,900)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0.0236094054</v>
      </c>
      <c r="G1924" t="n">
        <v>0.4044782316320883</v>
      </c>
      <c r="H1924" t="n">
        <v>0.0103548882806077</v>
      </c>
      <c r="I1924" t="n">
        <v>0.6800740559496706</v>
      </c>
      <c r="J1924" t="n">
        <v>0.0015998412371291</v>
      </c>
      <c r="K1924" t="n">
        <v>0.8764361274597867</v>
      </c>
      <c r="L1924" t="b">
        <v>0</v>
      </c>
      <c r="M1924" t="b">
        <v>0</v>
      </c>
      <c r="N1924" t="inlineStr">
        <is>
          <t>alt</t>
        </is>
      </c>
      <c r="O1924" t="n">
        <v>55</v>
      </c>
      <c r="P1924" t="n">
        <v>0.00519</v>
      </c>
      <c r="Q1924" t="n">
        <v>-100</v>
      </c>
      <c r="R1924" t="n">
        <v>0.02881</v>
      </c>
      <c r="S1924">
        <f>IMAGE("https://mitra.stanford.edu/kundaje/oak/projects/neuro-variants/variant_position/credible/roussos_2024/variant_figures/roussos_2024.childhood.Astrocyte/rs56666482_count_position.png",4,220,900)</f>
        <v/>
      </c>
      <c r="T1924">
        <f>IMAGE("https://mitra.stanford.edu/kundaje/oak/projects/neuro-variants/variant_position/credible/roussos_2024/variant_figures/roussos_2024.childhood.Astrocyte/rs56666482_profile_position.png",4,220,900)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-0.0221898872</v>
      </c>
      <c r="G1925" t="n">
        <v>0.4871312934398357</v>
      </c>
      <c r="H1925" t="n">
        <v>0.0227637133835563</v>
      </c>
      <c r="I1925" t="n">
        <v>0.0817204664294396</v>
      </c>
      <c r="J1925" t="n">
        <v>0.0031928129269613</v>
      </c>
      <c r="K1925" t="n">
        <v>0.8421901357084197</v>
      </c>
      <c r="L1925" t="b">
        <v>0</v>
      </c>
      <c r="M1925" t="b">
        <v>0</v>
      </c>
      <c r="N1925" t="inlineStr">
        <is>
          <t>ref</t>
        </is>
      </c>
      <c r="O1925" t="n">
        <v>90</v>
      </c>
      <c r="P1925" t="n">
        <v>0.0067</v>
      </c>
      <c r="Q1925" t="n">
        <v>100</v>
      </c>
      <c r="R1925" t="n">
        <v>0.0835</v>
      </c>
      <c r="S1925">
        <f>IMAGE("https://mitra.stanford.edu/kundaje/oak/projects/neuro-variants/variant_position/credible/roussos_2024/variant_figures/roussos_2024.childhood.Astrocyte/rs1261117_count_position.png",4,220,900)</f>
        <v/>
      </c>
      <c r="T1925">
        <f>IMAGE("https://mitra.stanford.edu/kundaje/oak/projects/neuro-variants/variant_position/credible/roussos_2024/variant_figures/roussos_2024.childhood.Astrocyte/rs1261117_profile_position.png",4,220,900)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-0.0268680051799999</v>
      </c>
      <c r="G1926" t="n">
        <v>0.4393924939455155</v>
      </c>
      <c r="H1926" t="n">
        <v>0.0328533215730292</v>
      </c>
      <c r="I1926" t="n">
        <v>0.0206462833038851</v>
      </c>
      <c r="J1926" t="n">
        <v>0.2901818903467594</v>
      </c>
      <c r="K1926" t="n">
        <v>0.1374121813351302</v>
      </c>
      <c r="L1926" t="b">
        <v>0</v>
      </c>
      <c r="M1926" t="b">
        <v>0</v>
      </c>
      <c r="N1926" t="inlineStr">
        <is>
          <t>ref</t>
        </is>
      </c>
      <c r="O1926" t="n">
        <v>85</v>
      </c>
      <c r="P1926" t="n">
        <v>0.0531</v>
      </c>
      <c r="Q1926" t="n">
        <v>90</v>
      </c>
      <c r="R1926" t="n">
        <v>0.785</v>
      </c>
      <c r="S1926">
        <f>IMAGE("https://mitra.stanford.edu/kundaje/oak/projects/neuro-variants/variant_position/credible/roussos_2024/variant_figures/roussos_2024.childhood.Astrocyte/rs1788031_count_position.png",4,220,900)</f>
        <v/>
      </c>
      <c r="T1926">
        <f>IMAGE("https://mitra.stanford.edu/kundaje/oak/projects/neuro-variants/variant_position/credible/roussos_2024/variant_figures/roussos_2024.childhood.Astrocyte/rs1788031_profile_position.png",4,220,900)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0.1665768696</v>
      </c>
      <c r="G1927" t="n">
        <v>0.0296766766530723</v>
      </c>
      <c r="H1927" t="n">
        <v>0.0285799328295206</v>
      </c>
      <c r="I1927" t="n">
        <v>0.0401309243522034</v>
      </c>
      <c r="J1927" t="n">
        <v>0.0355934143939913</v>
      </c>
      <c r="K1927" t="n">
        <v>0.5045980157311514</v>
      </c>
      <c r="L1927" t="b">
        <v>0</v>
      </c>
      <c r="M1927" t="b">
        <v>0</v>
      </c>
      <c r="N1927" t="inlineStr">
        <is>
          <t>alt</t>
        </is>
      </c>
      <c r="O1927" t="n">
        <v>-25</v>
      </c>
      <c r="P1927" t="n">
        <v>0.003723</v>
      </c>
      <c r="Q1927" t="n">
        <v>75</v>
      </c>
      <c r="R1927" t="n">
        <v>0.0696</v>
      </c>
      <c r="S1927">
        <f>IMAGE("https://mitra.stanford.edu/kundaje/oak/projects/neuro-variants/variant_position/credible/roussos_2024/variant_figures/roussos_2024.childhood.Astrocyte/rs79926379_count_position.png",4,220,900)</f>
        <v/>
      </c>
      <c r="T1927">
        <f>IMAGE("https://mitra.stanford.edu/kundaje/oak/projects/neuro-variants/variant_position/credible/roussos_2024/variant_figures/roussos_2024.childhood.Astrocyte/rs79926379_profile_position.png",4,220,900)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0.0697987994</v>
      </c>
      <c r="G1928" t="n">
        <v>0.133998953248597</v>
      </c>
      <c r="H1928" t="n">
        <v>0.0177506919152533</v>
      </c>
      <c r="I1928" t="n">
        <v>0.1859557983395735</v>
      </c>
      <c r="J1928" t="n">
        <v>0.0025134910276079</v>
      </c>
      <c r="K1928" t="n">
        <v>0.849698783861365</v>
      </c>
      <c r="L1928" t="b">
        <v>0</v>
      </c>
      <c r="M1928" t="b">
        <v>0</v>
      </c>
      <c r="N1928" t="inlineStr">
        <is>
          <t>alt</t>
        </is>
      </c>
      <c r="O1928" t="n">
        <v>85</v>
      </c>
      <c r="P1928" t="n">
        <v>0.00614</v>
      </c>
      <c r="Q1928" t="n">
        <v>-50</v>
      </c>
      <c r="R1928" t="n">
        <v>0.01207</v>
      </c>
      <c r="S1928">
        <f>IMAGE("https://mitra.stanford.edu/kundaje/oak/projects/neuro-variants/variant_position/credible/roussos_2024/variant_figures/roussos_2024.childhood.Astrocyte/rs77355441_count_position.png",4,220,900)</f>
        <v/>
      </c>
      <c r="T1928">
        <f>IMAGE("https://mitra.stanford.edu/kundaje/oak/projects/neuro-variants/variant_position/credible/roussos_2024/variant_figures/roussos_2024.childhood.Astrocyte/rs77355441_profile_position.png",4,220,900)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-0.0154811927999999</v>
      </c>
      <c r="G1929" t="n">
        <v>0.6071364906027815</v>
      </c>
      <c r="H1929" t="n">
        <v>0.0226113898689848</v>
      </c>
      <c r="I1929" t="n">
        <v>0.083190345329167</v>
      </c>
      <c r="J1929" t="n">
        <v>0.0734637020753665</v>
      </c>
      <c r="K1929" t="n">
        <v>0.3880048159880392</v>
      </c>
      <c r="L1929" t="b">
        <v>0</v>
      </c>
      <c r="M1929" t="b">
        <v>0</v>
      </c>
      <c r="N1929" t="inlineStr">
        <is>
          <t>ref</t>
        </is>
      </c>
      <c r="O1929" t="n">
        <v>-90</v>
      </c>
      <c r="P1929" t="n">
        <v>0.014854</v>
      </c>
      <c r="Q1929" t="n">
        <v>-40</v>
      </c>
      <c r="R1929" t="n">
        <v>0.09937</v>
      </c>
      <c r="S1929">
        <f>IMAGE("https://mitra.stanford.edu/kundaje/oak/projects/neuro-variants/variant_position/credible/roussos_2024/variant_figures/roussos_2024.childhood.Astrocyte/rs78322266_count_position.png",4,220,900)</f>
        <v/>
      </c>
      <c r="T1929">
        <f>IMAGE("https://mitra.stanford.edu/kundaje/oak/projects/neuro-variants/variant_position/credible/roussos_2024/variant_figures/roussos_2024.childhood.Astrocyte/rs78322266_profile_position.png",4,220,900)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-0.0506372564</v>
      </c>
      <c r="G1930" t="n">
        <v>0.2165139111981333</v>
      </c>
      <c r="H1930" t="n">
        <v>0.0184005136030474</v>
      </c>
      <c r="I1930" t="n">
        <v>0.1731300143502814</v>
      </c>
      <c r="J1930" t="n">
        <v>0.0467892499217634</v>
      </c>
      <c r="K1930" t="n">
        <v>0.4704564230604251</v>
      </c>
      <c r="L1930" t="b">
        <v>0</v>
      </c>
      <c r="M1930" t="b">
        <v>0</v>
      </c>
      <c r="N1930" t="inlineStr">
        <is>
          <t>ref</t>
        </is>
      </c>
      <c r="O1930" t="n">
        <v>-95</v>
      </c>
      <c r="P1930" t="n">
        <v>0.011955</v>
      </c>
      <c r="Q1930" t="n">
        <v>-20</v>
      </c>
      <c r="R1930" t="n">
        <v>0.0494</v>
      </c>
      <c r="S1930">
        <f>IMAGE("https://mitra.stanford.edu/kundaje/oak/projects/neuro-variants/variant_position/credible/roussos_2024/variant_figures/roussos_2024.childhood.Astrocyte/rs17594721_count_position.png",4,220,900)</f>
        <v/>
      </c>
      <c r="T1930">
        <f>IMAGE("https://mitra.stanford.edu/kundaje/oak/projects/neuro-variants/variant_position/credible/roussos_2024/variant_figures/roussos_2024.childhood.Astrocyte/rs17594721_profile_position.png",4,220,900)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0.04924061976</v>
      </c>
      <c r="G1931" t="n">
        <v>0.2458957659797609</v>
      </c>
      <c r="H1931" t="n">
        <v>0.01488195777496</v>
      </c>
      <c r="I1931" t="n">
        <v>0.3080842210379752</v>
      </c>
      <c r="J1931" t="n">
        <v>0.2467831436574996</v>
      </c>
      <c r="K1931" t="n">
        <v>0.1657934665469166</v>
      </c>
      <c r="L1931" t="b">
        <v>0</v>
      </c>
      <c r="M1931" t="b">
        <v>0</v>
      </c>
      <c r="N1931" t="inlineStr">
        <is>
          <t>alt</t>
        </is>
      </c>
      <c r="O1931" t="n">
        <v>100</v>
      </c>
      <c r="P1931" t="n">
        <v>0.02151</v>
      </c>
      <c r="Q1931" t="n">
        <v>-95</v>
      </c>
      <c r="R1931" t="n">
        <v>0.0654</v>
      </c>
      <c r="S1931">
        <f>IMAGE("https://mitra.stanford.edu/kundaje/oak/projects/neuro-variants/variant_position/credible/roussos_2024/variant_figures/roussos_2024.childhood.Astrocyte/rs1371833_count_position.png",4,220,900)</f>
        <v/>
      </c>
      <c r="T1931">
        <f>IMAGE("https://mitra.stanford.edu/kundaje/oak/projects/neuro-variants/variant_position/credible/roussos_2024/variant_figures/roussos_2024.childhood.Astrocyte/rs1371833_profile_position.png",4,220,900)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0.03448636297</v>
      </c>
      <c r="G1932" t="n">
        <v>0.3496469162887249</v>
      </c>
      <c r="H1932" t="n">
        <v>0.0112178636871141</v>
      </c>
      <c r="I1932" t="n">
        <v>0.5821272387406092</v>
      </c>
      <c r="J1932" t="n">
        <v>0.001105233831757</v>
      </c>
      <c r="K1932" t="n">
        <v>0.9062137252536324</v>
      </c>
      <c r="L1932" t="b">
        <v>0</v>
      </c>
      <c r="M1932" t="b">
        <v>0</v>
      </c>
      <c r="N1932" t="inlineStr">
        <is>
          <t>alt</t>
        </is>
      </c>
      <c r="O1932" t="n">
        <v>0</v>
      </c>
      <c r="P1932" t="n">
        <v>0</v>
      </c>
      <c r="Q1932" t="n">
        <v>-50</v>
      </c>
      <c r="R1932" t="n">
        <v>0.02438</v>
      </c>
      <c r="S1932">
        <f>IMAGE("https://mitra.stanford.edu/kundaje/oak/projects/neuro-variants/variant_position/credible/roussos_2024/variant_figures/roussos_2024.childhood.Astrocyte/rs73477275_count_position.png",4,220,900)</f>
        <v/>
      </c>
      <c r="T1932">
        <f>IMAGE("https://mitra.stanford.edu/kundaje/oak/projects/neuro-variants/variant_position/credible/roussos_2024/variant_figures/roussos_2024.childhood.Astrocyte/rs73477275_profile_position.png",4,220,900)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0.2347102392</v>
      </c>
      <c r="G1933" t="n">
        <v>0.0114657888851818</v>
      </c>
      <c r="H1933" t="n">
        <v>0.0330359972549191</v>
      </c>
      <c r="I1933" t="n">
        <v>0.0256880013388715</v>
      </c>
      <c r="J1933" t="n">
        <v>0.0427171349408073</v>
      </c>
      <c r="K1933" t="n">
        <v>0.4787189388235394</v>
      </c>
      <c r="L1933" t="b">
        <v>1</v>
      </c>
      <c r="M1933" t="b">
        <v>0</v>
      </c>
      <c r="N1933" t="inlineStr">
        <is>
          <t>alt</t>
        </is>
      </c>
      <c r="O1933" t="n">
        <v>-45</v>
      </c>
      <c r="P1933" t="n">
        <v>0.02016</v>
      </c>
      <c r="Q1933" t="n">
        <v>-95</v>
      </c>
      <c r="R1933" t="n">
        <v>0.2363</v>
      </c>
      <c r="S1933">
        <f>IMAGE("https://mitra.stanford.edu/kundaje/oak/projects/neuro-variants/variant_position/credible/roussos_2024/variant_figures/roussos_2024.childhood.Astrocyte/rs140282719_count_position.png",4,220,900)</f>
        <v/>
      </c>
      <c r="T1933">
        <f>IMAGE("https://mitra.stanford.edu/kundaje/oak/projects/neuro-variants/variant_position/credible/roussos_2024/variant_figures/roussos_2024.childhood.Astrocyte/rs140282719_profile_position.png",4,220,900)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-0.00357222248</v>
      </c>
      <c r="G1934" t="n">
        <v>0.8230828617933175</v>
      </c>
      <c r="H1934" t="n">
        <v>0.0108386368592649</v>
      </c>
      <c r="I1934" t="n">
        <v>0.631074928149096</v>
      </c>
      <c r="J1934" t="n">
        <v>0.0024623510643981</v>
      </c>
      <c r="K1934" t="n">
        <v>0.8511290868955448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0.012</v>
      </c>
      <c r="Q1934" t="n">
        <v>-45</v>
      </c>
      <c r="R1934" t="n">
        <v>0.0381</v>
      </c>
      <c r="S1934">
        <f>IMAGE("https://mitra.stanford.edu/kundaje/oak/projects/neuro-variants/variant_position/credible/roussos_2024/variant_figures/roussos_2024.childhood.Astrocyte/rs78431385_count_position.png",4,220,900)</f>
        <v/>
      </c>
      <c r="T1934">
        <f>IMAGE("https://mitra.stanford.edu/kundaje/oak/projects/neuro-variants/variant_position/credible/roussos_2024/variant_figures/roussos_2024.childhood.Astrocyte/rs78431385_profile_position.png",4,220,900)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0.0040712424816</v>
      </c>
      <c r="G1935" t="n">
        <v>0.8718319693636941</v>
      </c>
      <c r="H1935" t="n">
        <v>0.0315432712522453</v>
      </c>
      <c r="I1935" t="n">
        <v>0.0250421418509737</v>
      </c>
      <c r="J1935" t="n">
        <v>0.0046384709914282</v>
      </c>
      <c r="K1935" t="n">
        <v>0.8033065467502264</v>
      </c>
      <c r="L1935" t="b">
        <v>0</v>
      </c>
      <c r="M1935" t="b">
        <v>0</v>
      </c>
      <c r="N1935" t="inlineStr">
        <is>
          <t>alt</t>
        </is>
      </c>
      <c r="O1935" t="n">
        <v>-95</v>
      </c>
      <c r="P1935" t="n">
        <v>0.00293</v>
      </c>
      <c r="Q1935" t="n">
        <v>-100</v>
      </c>
      <c r="R1935" t="n">
        <v>0.1473</v>
      </c>
      <c r="S1935">
        <f>IMAGE("https://mitra.stanford.edu/kundaje/oak/projects/neuro-variants/variant_position/credible/roussos_2024/variant_figures/roussos_2024.childhood.Astrocyte/rs184174206_count_position.png",4,220,900)</f>
        <v/>
      </c>
      <c r="T1935">
        <f>IMAGE("https://mitra.stanford.edu/kundaje/oak/projects/neuro-variants/variant_position/credible/roussos_2024/variant_figures/roussos_2024.childhood.Astrocyte/rs184174206_profile_position.png",4,220,900)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-0.0069982509599999</v>
      </c>
      <c r="G1936" t="n">
        <v>0.5950498570423014</v>
      </c>
      <c r="H1936" t="n">
        <v>0.0124121326284714</v>
      </c>
      <c r="I1936" t="n">
        <v>0.4823439079704935</v>
      </c>
      <c r="J1936" t="n">
        <v>0.0166945264973704</v>
      </c>
      <c r="K1936" t="n">
        <v>0.6514540048939876</v>
      </c>
      <c r="L1936" t="b">
        <v>0</v>
      </c>
      <c r="M1936" t="b">
        <v>0</v>
      </c>
      <c r="N1936" t="inlineStr">
        <is>
          <t>ref</t>
        </is>
      </c>
      <c r="O1936" t="n">
        <v>100</v>
      </c>
      <c r="P1936" t="n">
        <v>0.006508</v>
      </c>
      <c r="Q1936" t="n">
        <v>-55</v>
      </c>
      <c r="R1936" t="n">
        <v>0.01863</v>
      </c>
      <c r="S1936">
        <f>IMAGE("https://mitra.stanford.edu/kundaje/oak/projects/neuro-variants/variant_position/credible/roussos_2024/variant_figures/roussos_2024.childhood.Astrocyte/rs813043_count_position.png",4,220,900)</f>
        <v/>
      </c>
      <c r="T1936">
        <f>IMAGE("https://mitra.stanford.edu/kundaje/oak/projects/neuro-variants/variant_position/credible/roussos_2024/variant_figures/roussos_2024.childhood.Astrocyte/rs813043_profile_position.png",4,220,900)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0.0032334658</v>
      </c>
      <c r="G1937" t="n">
        <v>0.6726437628444069</v>
      </c>
      <c r="H1937" t="n">
        <v>0.0234828308475823</v>
      </c>
      <c r="I1937" t="n">
        <v>0.07285861089834469</v>
      </c>
      <c r="J1937" t="n">
        <v>0.0058780426369901</v>
      </c>
      <c r="K1937" t="n">
        <v>0.7629662777830118</v>
      </c>
      <c r="L1937" t="b">
        <v>0</v>
      </c>
      <c r="M1937" t="b">
        <v>0</v>
      </c>
      <c r="N1937" t="inlineStr">
        <is>
          <t>alt</t>
        </is>
      </c>
      <c r="O1937" t="n">
        <v>20</v>
      </c>
      <c r="P1937" t="n">
        <v>0.00177</v>
      </c>
      <c r="Q1937" t="n">
        <v>80</v>
      </c>
      <c r="R1937" t="n">
        <v>0.04645</v>
      </c>
      <c r="S1937">
        <f>IMAGE("https://mitra.stanford.edu/kundaje/oak/projects/neuro-variants/variant_position/credible/roussos_2024/variant_figures/roussos_2024.childhood.Astrocyte/rs17527878_count_position.png",4,220,900)</f>
        <v/>
      </c>
      <c r="T1937">
        <f>IMAGE("https://mitra.stanford.edu/kundaje/oak/projects/neuro-variants/variant_position/credible/roussos_2024/variant_figures/roussos_2024.childhood.Astrocyte/rs17527878_profile_position.png",4,220,900)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-0.0179215971</v>
      </c>
      <c r="G1938" t="n">
        <v>0.5716204761459661</v>
      </c>
      <c r="H1938" t="n">
        <v>0.0273893410318945</v>
      </c>
      <c r="I1938" t="n">
        <v>0.041881445901008</v>
      </c>
      <c r="J1938" t="n">
        <v>0.008996817109752401</v>
      </c>
      <c r="K1938" t="n">
        <v>0.7076690795909649</v>
      </c>
      <c r="L1938" t="b">
        <v>0</v>
      </c>
      <c r="M1938" t="b">
        <v>0</v>
      </c>
      <c r="N1938" t="inlineStr">
        <is>
          <t>ref</t>
        </is>
      </c>
      <c r="O1938" t="n">
        <v>35</v>
      </c>
      <c r="P1938" t="n">
        <v>0.002193</v>
      </c>
      <c r="Q1938" t="n">
        <v>40</v>
      </c>
      <c r="R1938" t="n">
        <v>0.009950000000000001</v>
      </c>
      <c r="S1938">
        <f>IMAGE("https://mitra.stanford.edu/kundaje/oak/projects/neuro-variants/variant_position/credible/roussos_2024/variant_figures/roussos_2024.childhood.Astrocyte/rs77882218_count_position.png",4,220,900)</f>
        <v/>
      </c>
      <c r="T1938">
        <f>IMAGE("https://mitra.stanford.edu/kundaje/oak/projects/neuro-variants/variant_position/credible/roussos_2024/variant_figures/roussos_2024.childhood.Astrocyte/rs77882218_profile_position.png",4,220,900)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0.0833148512</v>
      </c>
      <c r="G1939" t="n">
        <v>0.0971064671931061</v>
      </c>
      <c r="H1939" t="n">
        <v>0.0158824494703162</v>
      </c>
      <c r="I1939" t="n">
        <v>0.2571831364131761</v>
      </c>
      <c r="J1939" t="n">
        <v>0.0040507430560325</v>
      </c>
      <c r="K1939" t="n">
        <v>0.8061222448037514</v>
      </c>
      <c r="L1939" t="b">
        <v>0</v>
      </c>
      <c r="M1939" t="b">
        <v>0</v>
      </c>
      <c r="N1939" t="inlineStr">
        <is>
          <t>alt</t>
        </is>
      </c>
      <c r="O1939" t="n">
        <v>100</v>
      </c>
      <c r="P1939" t="n">
        <v>0.0775</v>
      </c>
      <c r="Q1939" t="n">
        <v>100</v>
      </c>
      <c r="R1939" t="n">
        <v>0.1816</v>
      </c>
      <c r="S1939">
        <f>IMAGE("https://mitra.stanford.edu/kundaje/oak/projects/neuro-variants/variant_position/credible/roussos_2024/variant_figures/roussos_2024.childhood.Astrocyte/rs72932579_count_position.png",4,220,900)</f>
        <v/>
      </c>
      <c r="T1939">
        <f>IMAGE("https://mitra.stanford.edu/kundaje/oak/projects/neuro-variants/variant_position/credible/roussos_2024/variant_figures/roussos_2024.childhood.Astrocyte/rs72932579_profile_position.png",4,220,900)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-0.00477910088</v>
      </c>
      <c r="G1940" t="n">
        <v>0.703252454975743</v>
      </c>
      <c r="H1940" t="n">
        <v>0.0319801985717599</v>
      </c>
      <c r="I1940" t="n">
        <v>0.0237905809269079</v>
      </c>
      <c r="J1940" t="n">
        <v>0.1504430858006456</v>
      </c>
      <c r="K1940" t="n">
        <v>0.2499351599465195</v>
      </c>
      <c r="L1940" t="b">
        <v>0</v>
      </c>
      <c r="M1940" t="b">
        <v>0</v>
      </c>
      <c r="N1940" t="inlineStr">
        <is>
          <t>ref</t>
        </is>
      </c>
      <c r="O1940" t="n">
        <v>95</v>
      </c>
      <c r="P1940" t="n">
        <v>0.004242</v>
      </c>
      <c r="Q1940" t="n">
        <v>-25</v>
      </c>
      <c r="R1940" t="n">
        <v>0.0609</v>
      </c>
      <c r="S1940">
        <f>IMAGE("https://mitra.stanford.edu/kundaje/oak/projects/neuro-variants/variant_position/credible/roussos_2024/variant_figures/roussos_2024.childhood.Astrocyte/rs75882620_count_position.png",4,220,900)</f>
        <v/>
      </c>
      <c r="T1940">
        <f>IMAGE("https://mitra.stanford.edu/kundaje/oak/projects/neuro-variants/variant_position/credible/roussos_2024/variant_figures/roussos_2024.childhood.Astrocyte/rs75882620_profile_position.png",4,220,900)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-0.0360274315999999</v>
      </c>
      <c r="G1941" t="n">
        <v>0.3259819685389026</v>
      </c>
      <c r="H1941" t="n">
        <v>0.0112803132171069</v>
      </c>
      <c r="I1941" t="n">
        <v>0.5858452704435021</v>
      </c>
      <c r="J1941" t="n">
        <v>0.0007068000885408</v>
      </c>
      <c r="K1941" t="n">
        <v>0.9356520318823606</v>
      </c>
      <c r="L1941" t="b">
        <v>0</v>
      </c>
      <c r="M1941" t="b">
        <v>0</v>
      </c>
      <c r="N1941" t="inlineStr">
        <is>
          <t>ref</t>
        </is>
      </c>
      <c r="O1941" t="n">
        <v>-95</v>
      </c>
      <c r="P1941" t="n">
        <v>0.00752</v>
      </c>
      <c r="Q1941" t="n">
        <v>-95</v>
      </c>
      <c r="R1941" t="n">
        <v>0.2964</v>
      </c>
      <c r="S1941">
        <f>IMAGE("https://mitra.stanford.edu/kundaje/oak/projects/neuro-variants/variant_position/credible/roussos_2024/variant_figures/roussos_2024.childhood.Astrocyte/rs148652326_count_position.png",4,220,900)</f>
        <v/>
      </c>
      <c r="T1941">
        <f>IMAGE("https://mitra.stanford.edu/kundaje/oak/projects/neuro-variants/variant_position/credible/roussos_2024/variant_figures/roussos_2024.childhood.Astrocyte/rs148652326_profile_position.png",4,220,900)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0.0466495004</v>
      </c>
      <c r="G1942" t="n">
        <v>0.157824986110883</v>
      </c>
      <c r="H1942" t="n">
        <v>0.0098171531232953</v>
      </c>
      <c r="I1942" t="n">
        <v>0.7303214773708079</v>
      </c>
      <c r="J1942" t="n">
        <v>0.2540648637921427</v>
      </c>
      <c r="K1942" t="n">
        <v>0.1595029500838876</v>
      </c>
      <c r="L1942" t="b">
        <v>0</v>
      </c>
      <c r="M1942" t="b">
        <v>0</v>
      </c>
      <c r="N1942" t="inlineStr">
        <is>
          <t>alt</t>
        </is>
      </c>
      <c r="O1942" t="n">
        <v>-25</v>
      </c>
      <c r="P1942" t="n">
        <v>0.01776</v>
      </c>
      <c r="Q1942" t="n">
        <v>45</v>
      </c>
      <c r="R1942" t="n">
        <v>0.09080000000000001</v>
      </c>
      <c r="S1942">
        <f>IMAGE("https://mitra.stanford.edu/kundaje/oak/projects/neuro-variants/variant_position/credible/roussos_2024/variant_figures/roussos_2024.childhood.Astrocyte/rs17602354_count_position.png",4,220,900)</f>
        <v/>
      </c>
      <c r="T1942">
        <f>IMAGE("https://mitra.stanford.edu/kundaje/oak/projects/neuro-variants/variant_position/credible/roussos_2024/variant_figures/roussos_2024.childhood.Astrocyte/rs17602354_profile_position.png",4,220,900)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-0.127377457</v>
      </c>
      <c r="G1943" t="n">
        <v>0.0543785140556212</v>
      </c>
      <c r="H1943" t="n">
        <v>0.0209783544580013</v>
      </c>
      <c r="I1943" t="n">
        <v>0.1078931265048017</v>
      </c>
      <c r="J1943" t="n">
        <v>0.0115286269301519</v>
      </c>
      <c r="K1943" t="n">
        <v>0.679954944232253</v>
      </c>
      <c r="L1943" t="b">
        <v>0</v>
      </c>
      <c r="M1943" t="b">
        <v>0</v>
      </c>
      <c r="N1943" t="inlineStr">
        <is>
          <t>ref</t>
        </is>
      </c>
      <c r="O1943" t="n">
        <v>-25</v>
      </c>
      <c r="P1943" t="n">
        <v>0.0013275</v>
      </c>
      <c r="Q1943" t="n">
        <v>-75</v>
      </c>
      <c r="R1943" t="n">
        <v>0.01294</v>
      </c>
      <c r="S1943">
        <f>IMAGE("https://mitra.stanford.edu/kundaje/oak/projects/neuro-variants/variant_position/credible/roussos_2024/variant_figures/roussos_2024.childhood.Astrocyte/rs61576172_count_position.png",4,220,900)</f>
        <v/>
      </c>
      <c r="T1943">
        <f>IMAGE("https://mitra.stanford.edu/kundaje/oak/projects/neuro-variants/variant_position/credible/roussos_2024/variant_figures/roussos_2024.childhood.Astrocyte/rs61576172_profile_position.png",4,220,900)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-0.0391104714</v>
      </c>
      <c r="G1944" t="n">
        <v>0.3086254545323648</v>
      </c>
      <c r="H1944" t="n">
        <v>0.0155593758799527</v>
      </c>
      <c r="I1944" t="n">
        <v>0.2762295730716346</v>
      </c>
      <c r="J1944" t="n">
        <v>0.3115751871951638</v>
      </c>
      <c r="K1944" t="n">
        <v>0.1268402010521798</v>
      </c>
      <c r="L1944" t="b">
        <v>0</v>
      </c>
      <c r="M1944" t="b">
        <v>0</v>
      </c>
      <c r="N1944" t="inlineStr">
        <is>
          <t>ref</t>
        </is>
      </c>
      <c r="O1944" t="n">
        <v>100</v>
      </c>
      <c r="P1944" t="n">
        <v>0.03867</v>
      </c>
      <c r="Q1944" t="n">
        <v>90</v>
      </c>
      <c r="R1944" t="n">
        <v>0.3015</v>
      </c>
      <c r="S1944">
        <f>IMAGE("https://mitra.stanford.edu/kundaje/oak/projects/neuro-variants/variant_position/credible/roussos_2024/variant_figures/roussos_2024.childhood.Astrocyte/rs118115105_count_position.png",4,220,900)</f>
        <v/>
      </c>
      <c r="T1944">
        <f>IMAGE("https://mitra.stanford.edu/kundaje/oak/projects/neuro-variants/variant_position/credible/roussos_2024/variant_figures/roussos_2024.childhood.Astrocyte/rs118115105_profile_position.png",4,220,900)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-0.0399291828</v>
      </c>
      <c r="G1945" t="n">
        <v>0.293164263423268</v>
      </c>
      <c r="H1945" t="n">
        <v>0.0124553185572983</v>
      </c>
      <c r="I1945" t="n">
        <v>0.4722922818600651</v>
      </c>
      <c r="J1945" t="n">
        <v>0.0163884500011448</v>
      </c>
      <c r="K1945" t="n">
        <v>0.6252441362372199</v>
      </c>
      <c r="L1945" t="b">
        <v>0</v>
      </c>
      <c r="M1945" t="b">
        <v>0</v>
      </c>
      <c r="N1945" t="inlineStr">
        <is>
          <t>ref</t>
        </is>
      </c>
      <c r="O1945" t="n">
        <v>45</v>
      </c>
      <c r="P1945" t="n">
        <v>0.00983</v>
      </c>
      <c r="Q1945" t="n">
        <v>95</v>
      </c>
      <c r="R1945" t="n">
        <v>0.093</v>
      </c>
      <c r="S1945">
        <f>IMAGE("https://mitra.stanford.edu/kundaje/oak/projects/neuro-variants/variant_position/credible/roussos_2024/variant_figures/roussos_2024.childhood.Astrocyte/rs56062547_count_position.png",4,220,900)</f>
        <v/>
      </c>
      <c r="T1945">
        <f>IMAGE("https://mitra.stanford.edu/kundaje/oak/projects/neuro-variants/variant_position/credible/roussos_2024/variant_figures/roussos_2024.childhood.Astrocyte/rs56062547_profile_position.png",4,220,900)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0.1612451958</v>
      </c>
      <c r="G1946" t="n">
        <v>0.026671920455769</v>
      </c>
      <c r="H1946" t="n">
        <v>0.0321086232452595</v>
      </c>
      <c r="I1946" t="n">
        <v>0.0245194479716394</v>
      </c>
      <c r="J1946" t="n">
        <v>0.0191263462404493</v>
      </c>
      <c r="K1946" t="n">
        <v>0.6023284122754765</v>
      </c>
      <c r="L1946" t="b">
        <v>0</v>
      </c>
      <c r="M1946" t="b">
        <v>0</v>
      </c>
      <c r="N1946" t="inlineStr">
        <is>
          <t>alt</t>
        </is>
      </c>
      <c r="O1946" t="n">
        <v>70</v>
      </c>
      <c r="P1946" t="n">
        <v>0.04105</v>
      </c>
      <c r="Q1946" t="n">
        <v>70</v>
      </c>
      <c r="R1946" t="n">
        <v>0.1523</v>
      </c>
      <c r="S1946">
        <f>IMAGE("https://mitra.stanford.edu/kundaje/oak/projects/neuro-variants/variant_position/credible/roussos_2024/variant_figures/roussos_2024.childhood.Astrocyte/rs1424401_count_position.png",4,220,900)</f>
        <v/>
      </c>
      <c r="T1946">
        <f>IMAGE("https://mitra.stanford.edu/kundaje/oak/projects/neuro-variants/variant_position/credible/roussos_2024/variant_figures/roussos_2024.childhood.Astrocyte/rs1424401_profile_position.png",4,220,900)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-0.1103831469999999</v>
      </c>
      <c r="G1947" t="n">
        <v>0.06558782924401479</v>
      </c>
      <c r="H1947" t="n">
        <v>0.0255690373008202</v>
      </c>
      <c r="I1947" t="n">
        <v>0.0562567775086075</v>
      </c>
      <c r="J1947" t="n">
        <v>0.0504369795363818</v>
      </c>
      <c r="K1947" t="n">
        <v>0.4432156857601123</v>
      </c>
      <c r="L1947" t="b">
        <v>0</v>
      </c>
      <c r="M1947" t="b">
        <v>0</v>
      </c>
      <c r="N1947" t="inlineStr">
        <is>
          <t>ref</t>
        </is>
      </c>
      <c r="O1947" t="n">
        <v>-100</v>
      </c>
      <c r="P1947" t="n">
        <v>0.01377</v>
      </c>
      <c r="Q1947" t="n">
        <v>-40</v>
      </c>
      <c r="R1947" t="n">
        <v>0.03564</v>
      </c>
      <c r="S1947">
        <f>IMAGE("https://mitra.stanford.edu/kundaje/oak/projects/neuro-variants/variant_position/credible/roussos_2024/variant_figures/roussos_2024.childhood.Astrocyte/rs2902193_count_position.png",4,220,900)</f>
        <v/>
      </c>
      <c r="T1947">
        <f>IMAGE("https://mitra.stanford.edu/kundaje/oak/projects/neuro-variants/variant_position/credible/roussos_2024/variant_figures/roussos_2024.childhood.Astrocyte/rs2902193_profile_position.png",4,220,900)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-0.0569502745999999</v>
      </c>
      <c r="G1948" t="n">
        <v>0.2051802691737185</v>
      </c>
      <c r="H1948" t="n">
        <v>0.0140344835203644</v>
      </c>
      <c r="I1948" t="n">
        <v>0.3572559876737001</v>
      </c>
      <c r="J1948" t="n">
        <v>0.1464595116515154</v>
      </c>
      <c r="K1948" t="n">
        <v>0.2542773722487588</v>
      </c>
      <c r="L1948" t="b">
        <v>0</v>
      </c>
      <c r="M1948" t="b">
        <v>0</v>
      </c>
      <c r="N1948" t="inlineStr">
        <is>
          <t>ref</t>
        </is>
      </c>
      <c r="O1948" t="n">
        <v>-80</v>
      </c>
      <c r="P1948" t="n">
        <v>0.02463</v>
      </c>
      <c r="Q1948" t="n">
        <v>-75</v>
      </c>
      <c r="R1948" t="n">
        <v>0.2527</v>
      </c>
      <c r="S1948">
        <f>IMAGE("https://mitra.stanford.edu/kundaje/oak/projects/neuro-variants/variant_position/credible/roussos_2024/variant_figures/roussos_2024.childhood.Astrocyte/rs10164243_count_position.png",4,220,900)</f>
        <v/>
      </c>
      <c r="T1948">
        <f>IMAGE("https://mitra.stanford.edu/kundaje/oak/projects/neuro-variants/variant_position/credible/roussos_2024/variant_figures/roussos_2024.childhood.Astrocyte/rs10164243_profile_position.png",4,220,900)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-0.052872754</v>
      </c>
      <c r="G1949" t="n">
        <v>0.1109869439254619</v>
      </c>
      <c r="H1949" t="n">
        <v>0.0164395226936545</v>
      </c>
      <c r="I1949" t="n">
        <v>0.2311610052237652</v>
      </c>
      <c r="J1949" t="n">
        <v>0.7890766565150024</v>
      </c>
      <c r="K1949" t="n">
        <v>0.009020313573153501</v>
      </c>
      <c r="L1949" t="b">
        <v>0</v>
      </c>
      <c r="M1949" t="b">
        <v>0</v>
      </c>
      <c r="N1949" t="inlineStr">
        <is>
          <t>ref</t>
        </is>
      </c>
      <c r="O1949" t="n">
        <v>-85</v>
      </c>
      <c r="P1949" t="n">
        <v>0.013855</v>
      </c>
      <c r="Q1949" t="n">
        <v>-95</v>
      </c>
      <c r="R1949" t="n">
        <v>0.1914</v>
      </c>
      <c r="S1949">
        <f>IMAGE("https://mitra.stanford.edu/kundaje/oak/projects/neuro-variants/variant_position/credible/roussos_2024/variant_figures/roussos_2024.childhood.Astrocyte/rs1862920_count_position.png",4,220,900)</f>
        <v/>
      </c>
      <c r="T1949">
        <f>IMAGE("https://mitra.stanford.edu/kundaje/oak/projects/neuro-variants/variant_position/credible/roussos_2024/variant_figures/roussos_2024.childhood.Astrocyte/rs1862920_profile_position.png",4,220,900)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0.0185042008</v>
      </c>
      <c r="G1950" t="n">
        <v>0.5479995589514625</v>
      </c>
      <c r="H1950" t="n">
        <v>0.0337027655440361</v>
      </c>
      <c r="I1950" t="n">
        <v>0.0191824482012764</v>
      </c>
      <c r="J1950" t="n">
        <v>0.0057498110874492</v>
      </c>
      <c r="K1950" t="n">
        <v>0.7577541083499693</v>
      </c>
      <c r="L1950" t="b">
        <v>0</v>
      </c>
      <c r="M1950" t="b">
        <v>0</v>
      </c>
      <c r="N1950" t="inlineStr">
        <is>
          <t>alt</t>
        </is>
      </c>
      <c r="O1950" t="n">
        <v>-100</v>
      </c>
      <c r="P1950" t="n">
        <v>0.01044</v>
      </c>
      <c r="Q1950" t="n">
        <v>-95</v>
      </c>
      <c r="R1950" t="n">
        <v>0.01938</v>
      </c>
      <c r="S1950">
        <f>IMAGE("https://mitra.stanford.edu/kundaje/oak/projects/neuro-variants/variant_position/credible/roussos_2024/variant_figures/roussos_2024.childhood.Astrocyte/rs1789562_count_position.png",4,220,900)</f>
        <v/>
      </c>
      <c r="T1950">
        <f>IMAGE("https://mitra.stanford.edu/kundaje/oak/projects/neuro-variants/variant_position/credible/roussos_2024/variant_figures/roussos_2024.childhood.Astrocyte/rs1789562_profile_position.png",4,220,900)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-0.03440091586</v>
      </c>
      <c r="G1951" t="n">
        <v>0.3818404868722223</v>
      </c>
      <c r="H1951" t="n">
        <v>0.0101836039805954</v>
      </c>
      <c r="I1951" t="n">
        <v>0.6942950501517092</v>
      </c>
      <c r="J1951" t="n">
        <v>0.5514796241594346</v>
      </c>
      <c r="K1951" t="n">
        <v>0.0432328156990428</v>
      </c>
      <c r="L1951" t="b">
        <v>0</v>
      </c>
      <c r="M1951" t="b">
        <v>0</v>
      </c>
      <c r="N1951" t="inlineStr">
        <is>
          <t>ref</t>
        </is>
      </c>
      <c r="O1951" t="n">
        <v>-100</v>
      </c>
      <c r="P1951" t="n">
        <v>0.03085</v>
      </c>
      <c r="Q1951" t="n">
        <v>-55</v>
      </c>
      <c r="R1951" t="n">
        <v>0.3457</v>
      </c>
      <c r="S1951">
        <f>IMAGE("https://mitra.stanford.edu/kundaje/oak/projects/neuro-variants/variant_position/credible/roussos_2024/variant_figures/roussos_2024.childhood.Astrocyte/rs75104423_count_position.png",4,220,900)</f>
        <v/>
      </c>
      <c r="T1951">
        <f>IMAGE("https://mitra.stanford.edu/kundaje/oak/projects/neuro-variants/variant_position/credible/roussos_2024/variant_figures/roussos_2024.childhood.Astrocyte/rs75104423_profile_position.png",4,220,900)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0.0138776582399999</v>
      </c>
      <c r="G1952" t="n">
        <v>0.5645224526963576</v>
      </c>
      <c r="H1952" t="n">
        <v>0.0122694269895696</v>
      </c>
      <c r="I1952" t="n">
        <v>0.4948800583683211</v>
      </c>
      <c r="J1952" t="n">
        <v>0.0012769725141779</v>
      </c>
      <c r="K1952" t="n">
        <v>0.8925965139675903</v>
      </c>
      <c r="L1952" t="b">
        <v>0</v>
      </c>
      <c r="M1952" t="b">
        <v>0</v>
      </c>
      <c r="N1952" t="inlineStr">
        <is>
          <t>alt</t>
        </is>
      </c>
      <c r="O1952" t="n">
        <v>-100</v>
      </c>
      <c r="P1952" t="n">
        <v>0.01291</v>
      </c>
      <c r="Q1952" t="n">
        <v>30</v>
      </c>
      <c r="R1952" t="n">
        <v>0.03815</v>
      </c>
      <c r="S1952">
        <f>IMAGE("https://mitra.stanford.edu/kundaje/oak/projects/neuro-variants/variant_position/credible/roussos_2024/variant_figures/roussos_2024.childhood.Astrocyte/rs62091470_count_position.png",4,220,900)</f>
        <v/>
      </c>
      <c r="T1952">
        <f>IMAGE("https://mitra.stanford.edu/kundaje/oak/projects/neuro-variants/variant_position/credible/roussos_2024/variant_figures/roussos_2024.childhood.Astrocyte/rs62091470_profile_position.png",4,220,900)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-0.043565081</v>
      </c>
      <c r="G1953" t="n">
        <v>0.263867332028049</v>
      </c>
      <c r="H1953" t="n">
        <v>0.0122490669025584</v>
      </c>
      <c r="I1953" t="n">
        <v>0.4974643399419731</v>
      </c>
      <c r="J1953" t="n">
        <v>0.0256707349652324</v>
      </c>
      <c r="K1953" t="n">
        <v>0.5527436343588876</v>
      </c>
      <c r="L1953" t="b">
        <v>0</v>
      </c>
      <c r="M1953" t="b">
        <v>0</v>
      </c>
      <c r="N1953" t="inlineStr">
        <is>
          <t>ref</t>
        </is>
      </c>
      <c r="O1953" t="n">
        <v>100</v>
      </c>
      <c r="P1953" t="n">
        <v>0.007990000000000001</v>
      </c>
      <c r="Q1953" t="n">
        <v>-85</v>
      </c>
      <c r="R1953" t="n">
        <v>0.2896</v>
      </c>
      <c r="S1953">
        <f>IMAGE("https://mitra.stanford.edu/kundaje/oak/projects/neuro-variants/variant_position/credible/roussos_2024/variant_figures/roussos_2024.childhood.Astrocyte/rs62091471_count_position.png",4,220,900)</f>
        <v/>
      </c>
      <c r="T1953">
        <f>IMAGE("https://mitra.stanford.edu/kundaje/oak/projects/neuro-variants/variant_position/credible/roussos_2024/variant_figures/roussos_2024.childhood.Astrocyte/rs62091471_profile_position.png",4,220,900)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0.0242434124</v>
      </c>
      <c r="G1954" t="n">
        <v>0.4516447558113816</v>
      </c>
      <c r="H1954" t="n">
        <v>0.013343899711414</v>
      </c>
      <c r="I1954" t="n">
        <v>0.4012708374138237</v>
      </c>
      <c r="J1954" t="n">
        <v>0.0757695801180034</v>
      </c>
      <c r="K1954" t="n">
        <v>0.3732422709859636</v>
      </c>
      <c r="L1954" t="b">
        <v>0</v>
      </c>
      <c r="M1954" t="b">
        <v>0</v>
      </c>
      <c r="N1954" t="inlineStr">
        <is>
          <t>alt</t>
        </is>
      </c>
      <c r="O1954" t="n">
        <v>50</v>
      </c>
      <c r="P1954" t="n">
        <v>0.02185</v>
      </c>
      <c r="Q1954" t="n">
        <v>-90</v>
      </c>
      <c r="R1954" t="n">
        <v>0.2676</v>
      </c>
      <c r="S1954">
        <f>IMAGE("https://mitra.stanford.edu/kundaje/oak/projects/neuro-variants/variant_position/credible/roussos_2024/variant_figures/roussos_2024.childhood.Astrocyte/rs1808094_count_position.png",4,220,900)</f>
        <v/>
      </c>
      <c r="T1954">
        <f>IMAGE("https://mitra.stanford.edu/kundaje/oak/projects/neuro-variants/variant_position/credible/roussos_2024/variant_figures/roussos_2024.childhood.Astrocyte/rs1808094_profile_position.png",4,220,900)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-0.002379373357</v>
      </c>
      <c r="G1955" t="n">
        <v>0.8160348861437735</v>
      </c>
      <c r="H1955" t="n">
        <v>0.028440429932091</v>
      </c>
      <c r="I1955" t="n">
        <v>0.0365631995114014</v>
      </c>
      <c r="J1955" t="n">
        <v>0.009038034393533401</v>
      </c>
      <c r="K1955" t="n">
        <v>0.7052398263278891</v>
      </c>
      <c r="L1955" t="b">
        <v>0</v>
      </c>
      <c r="M1955" t="b">
        <v>0</v>
      </c>
      <c r="N1955" t="inlineStr">
        <is>
          <t>ref</t>
        </is>
      </c>
      <c r="O1955" t="n">
        <v>-25</v>
      </c>
      <c r="P1955" t="n">
        <v>0.005554</v>
      </c>
      <c r="Q1955" t="n">
        <v>55</v>
      </c>
      <c r="R1955" t="n">
        <v>0.02283</v>
      </c>
      <c r="S1955">
        <f>IMAGE("https://mitra.stanford.edu/kundaje/oak/projects/neuro-variants/variant_position/credible/roussos_2024/variant_figures/roussos_2024.childhood.Astrocyte/rs1790947_count_position.png",4,220,900)</f>
        <v/>
      </c>
      <c r="T1955">
        <f>IMAGE("https://mitra.stanford.edu/kundaje/oak/projects/neuro-variants/variant_position/credible/roussos_2024/variant_figures/roussos_2024.childhood.Astrocyte/rs1790947_profile_position.png",4,220,900)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0.1090284763999999</v>
      </c>
      <c r="G1956" t="n">
        <v>0.0614674163801167</v>
      </c>
      <c r="H1956" t="n">
        <v>0.013931291270006</v>
      </c>
      <c r="I1956" t="n">
        <v>0.3701187820675621</v>
      </c>
      <c r="J1956" t="n">
        <v>0.3116622014609237</v>
      </c>
      <c r="K1956" t="n">
        <v>0.1258975552402784</v>
      </c>
      <c r="L1956" t="b">
        <v>0</v>
      </c>
      <c r="M1956" t="b">
        <v>0</v>
      </c>
      <c r="N1956" t="inlineStr">
        <is>
          <t>alt</t>
        </is>
      </c>
      <c r="O1956" t="n">
        <v>-95</v>
      </c>
      <c r="P1956" t="n">
        <v>0.00329</v>
      </c>
      <c r="Q1956" t="n">
        <v>-90</v>
      </c>
      <c r="R1956" t="n">
        <v>0.1902</v>
      </c>
      <c r="S1956">
        <f>IMAGE("https://mitra.stanford.edu/kundaje/oak/projects/neuro-variants/variant_position/credible/roussos_2024/variant_figures/roussos_2024.childhood.Astrocyte/rs56249713_count_position.png",4,220,900)</f>
        <v/>
      </c>
      <c r="T1956">
        <f>IMAGE("https://mitra.stanford.edu/kundaje/oak/projects/neuro-variants/variant_position/credible/roussos_2024/variant_figures/roussos_2024.childhood.Astrocyte/rs56249713_profile_position.png",4,220,900)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0.008495582119999999</v>
      </c>
      <c r="G1957" t="n">
        <v>0.7503795308289788</v>
      </c>
      <c r="H1957" t="n">
        <v>0.0288565940890542</v>
      </c>
      <c r="I1957" t="n">
        <v>0.0347143040143165</v>
      </c>
      <c r="J1957" t="n">
        <v>0.1151649072992756</v>
      </c>
      <c r="K1957" t="n">
        <v>0.2965514160779253</v>
      </c>
      <c r="L1957" t="b">
        <v>0</v>
      </c>
      <c r="M1957" t="b">
        <v>0</v>
      </c>
      <c r="N1957" t="inlineStr">
        <is>
          <t>alt</t>
        </is>
      </c>
      <c r="O1957" t="n">
        <v>100</v>
      </c>
      <c r="P1957" t="n">
        <v>0.10834</v>
      </c>
      <c r="Q1957" t="n">
        <v>-90</v>
      </c>
      <c r="R1957" t="n">
        <v>0.06710000000000001</v>
      </c>
      <c r="S1957">
        <f>IMAGE("https://mitra.stanford.edu/kundaje/oak/projects/neuro-variants/variant_position/credible/roussos_2024/variant_figures/roussos_2024.childhood.Astrocyte/rs2554138_count_position.png",4,220,900)</f>
        <v/>
      </c>
      <c r="T1957">
        <f>IMAGE("https://mitra.stanford.edu/kundaje/oak/projects/neuro-variants/variant_position/credible/roussos_2024/variant_figures/roussos_2024.childhood.Astrocyte/rs2554138_profile_position.png",4,220,900)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-0.00567667734</v>
      </c>
      <c r="G1958" t="n">
        <v>0.7517897513130585</v>
      </c>
      <c r="H1958" t="n">
        <v>0.0197777984468062</v>
      </c>
      <c r="I1958" t="n">
        <v>0.129551539541997</v>
      </c>
      <c r="J1958" t="n">
        <v>0.0166342271377649</v>
      </c>
      <c r="K1958" t="n">
        <v>0.6174759667252572</v>
      </c>
      <c r="L1958" t="b">
        <v>0</v>
      </c>
      <c r="M1958" t="b">
        <v>0</v>
      </c>
      <c r="N1958" t="inlineStr">
        <is>
          <t>ref</t>
        </is>
      </c>
      <c r="O1958" t="n">
        <v>-35</v>
      </c>
      <c r="P1958" t="n">
        <v>0.001358</v>
      </c>
      <c r="Q1958" t="n">
        <v>-30</v>
      </c>
      <c r="R1958" t="n">
        <v>0.04312</v>
      </c>
      <c r="S1958">
        <f>IMAGE("https://mitra.stanford.edu/kundaje/oak/projects/neuro-variants/variant_position/credible/roussos_2024/variant_figures/roussos_2024.childhood.Astrocyte/rs2554132_count_position.png",4,220,900)</f>
        <v/>
      </c>
      <c r="T1958">
        <f>IMAGE("https://mitra.stanford.edu/kundaje/oak/projects/neuro-variants/variant_position/credible/roussos_2024/variant_figures/roussos_2024.childhood.Astrocyte/rs2554132_profile_position.png",4,220,900)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-0.1834286862</v>
      </c>
      <c r="G1959" t="n">
        <v>0.0380694996333915</v>
      </c>
      <c r="H1959" t="n">
        <v>0.07904795048203341</v>
      </c>
      <c r="I1959" t="n">
        <v>0.0017480120335169</v>
      </c>
      <c r="J1959" t="n">
        <v>0.0218047064031813</v>
      </c>
      <c r="K1959" t="n">
        <v>0.5796492720297592</v>
      </c>
      <c r="L1959" t="b">
        <v>1</v>
      </c>
      <c r="M1959" t="b">
        <v>0</v>
      </c>
      <c r="N1959" t="inlineStr">
        <is>
          <t>ref</t>
        </is>
      </c>
      <c r="O1959" t="n">
        <v>-100</v>
      </c>
      <c r="P1959" t="n">
        <v>0.02267</v>
      </c>
      <c r="Q1959" t="n">
        <v>-100</v>
      </c>
      <c r="R1959" t="n">
        <v>0.0687</v>
      </c>
      <c r="S1959">
        <f>IMAGE("https://mitra.stanford.edu/kundaje/oak/projects/neuro-variants/variant_position/credible/roussos_2024/variant_figures/roussos_2024.childhood.Astrocyte/rs17055966_count_position.png",4,220,900)</f>
        <v/>
      </c>
      <c r="T1959">
        <f>IMAGE("https://mitra.stanford.edu/kundaje/oak/projects/neuro-variants/variant_position/credible/roussos_2024/variant_figures/roussos_2024.childhood.Astrocyte/rs17055966_profile_position.png",4,220,900)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0.0418097908</v>
      </c>
      <c r="G1960" t="n">
        <v>0.2655325455162454</v>
      </c>
      <c r="H1960" t="n">
        <v>0.0262109810526364</v>
      </c>
      <c r="I1960" t="n">
        <v>0.0499929894227</v>
      </c>
      <c r="J1960" t="n">
        <v>0.0009136497904787</v>
      </c>
      <c r="K1960" t="n">
        <v>0.908198139162772</v>
      </c>
      <c r="L1960" t="b">
        <v>0</v>
      </c>
      <c r="M1960" t="b">
        <v>0</v>
      </c>
      <c r="N1960" t="inlineStr">
        <is>
          <t>alt</t>
        </is>
      </c>
      <c r="O1960" t="n">
        <v>35</v>
      </c>
      <c r="P1960" t="n">
        <v>0.005707</v>
      </c>
      <c r="Q1960" t="n">
        <v>-80</v>
      </c>
      <c r="R1960" t="n">
        <v>0.10815</v>
      </c>
      <c r="S1960">
        <f>IMAGE("https://mitra.stanford.edu/kundaje/oak/projects/neuro-variants/variant_position/credible/roussos_2024/variant_figures/roussos_2024.childhood.Astrocyte/rs2930551_count_position.png",4,220,900)</f>
        <v/>
      </c>
      <c r="T1960">
        <f>IMAGE("https://mitra.stanford.edu/kundaje/oak/projects/neuro-variants/variant_position/credible/roussos_2024/variant_figures/roussos_2024.childhood.Astrocyte/rs2930551_profile_position.png",4,220,900)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-0.01305432768</v>
      </c>
      <c r="G1961" t="n">
        <v>0.6505735455213901</v>
      </c>
      <c r="H1961" t="n">
        <v>0.0073982248132864</v>
      </c>
      <c r="I1961" t="n">
        <v>0.9425854901186173</v>
      </c>
      <c r="J1961" t="n">
        <v>0.0010853884728995</v>
      </c>
      <c r="K1961" t="n">
        <v>0.901144311443991</v>
      </c>
      <c r="L1961" t="b">
        <v>0</v>
      </c>
      <c r="M1961" t="b">
        <v>0</v>
      </c>
      <c r="N1961" t="inlineStr">
        <is>
          <t>ref</t>
        </is>
      </c>
      <c r="O1961" t="n">
        <v>65</v>
      </c>
      <c r="P1961" t="n">
        <v>0.006714</v>
      </c>
      <c r="Q1961" t="n">
        <v>-40</v>
      </c>
      <c r="R1961" t="n">
        <v>0.07666000000000001</v>
      </c>
      <c r="S1961">
        <f>IMAGE("https://mitra.stanford.edu/kundaje/oak/projects/neuro-variants/variant_position/credible/roussos_2024/variant_figures/roussos_2024.childhood.Astrocyte/rs4891202_count_position.png",4,220,900)</f>
        <v/>
      </c>
      <c r="T1961">
        <f>IMAGE("https://mitra.stanford.edu/kundaje/oak/projects/neuro-variants/variant_position/credible/roussos_2024/variant_figures/roussos_2024.childhood.Astrocyte/rs4891202_profile_position.png",4,220,900)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-0.1510510571999999</v>
      </c>
      <c r="G1962" t="n">
        <v>0.0322032727667805</v>
      </c>
      <c r="H1962" t="n">
        <v>0.0183552614887247</v>
      </c>
      <c r="I1962" t="n">
        <v>0.170033252031458</v>
      </c>
      <c r="J1962" t="n">
        <v>0.0639883065039346</v>
      </c>
      <c r="K1962" t="n">
        <v>0.4072835712690999</v>
      </c>
      <c r="L1962" t="b">
        <v>0</v>
      </c>
      <c r="M1962" t="b">
        <v>0</v>
      </c>
      <c r="N1962" t="inlineStr">
        <is>
          <t>ref</t>
        </is>
      </c>
      <c r="O1962" t="n">
        <v>-45</v>
      </c>
      <c r="P1962" t="n">
        <v>0.003586</v>
      </c>
      <c r="Q1962" t="n">
        <v>-65</v>
      </c>
      <c r="R1962" t="n">
        <v>0.0759</v>
      </c>
      <c r="S1962">
        <f>IMAGE("https://mitra.stanford.edu/kundaje/oak/projects/neuro-variants/variant_position/credible/roussos_2024/variant_figures/roussos_2024.childhood.Astrocyte/rs7243542_count_position.png",4,220,900)</f>
        <v/>
      </c>
      <c r="T1962">
        <f>IMAGE("https://mitra.stanford.edu/kundaje/oak/projects/neuro-variants/variant_position/credible/roussos_2024/variant_figures/roussos_2024.childhood.Astrocyte/rs7243542_profile_position.png",4,220,900)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0.2447690699999999</v>
      </c>
      <c r="G1963" t="n">
        <v>0.01046213913253</v>
      </c>
      <c r="H1963" t="n">
        <v>0.0354210518969135</v>
      </c>
      <c r="I1963" t="n">
        <v>0.0157924633516189</v>
      </c>
      <c r="J1963" t="n">
        <v>0.0197606344408569</v>
      </c>
      <c r="K1963" t="n">
        <v>0.597747151397569</v>
      </c>
      <c r="L1963" t="b">
        <v>1</v>
      </c>
      <c r="M1963" t="b">
        <v>0</v>
      </c>
      <c r="N1963" t="inlineStr">
        <is>
          <t>alt</t>
        </is>
      </c>
      <c r="O1963" t="n">
        <v>-100</v>
      </c>
      <c r="P1963" t="n">
        <v>0.01092</v>
      </c>
      <c r="Q1963" t="n">
        <v>50</v>
      </c>
      <c r="R1963" t="n">
        <v>0.08215</v>
      </c>
      <c r="S1963">
        <f>IMAGE("https://mitra.stanford.edu/kundaje/oak/projects/neuro-variants/variant_position/credible/roussos_2024/variant_figures/roussos_2024.childhood.Astrocyte/rs61019476_count_position.png",4,220,900)</f>
        <v/>
      </c>
      <c r="T1963">
        <f>IMAGE("https://mitra.stanford.edu/kundaje/oak/projects/neuro-variants/variant_position/credible/roussos_2024/variant_figures/roussos_2024.childhood.Astrocyte/rs61019476_profile_position.png",4,220,900)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0.1558898691999999</v>
      </c>
      <c r="G1964" t="n">
        <v>0.0293570825601254</v>
      </c>
      <c r="H1964" t="n">
        <v>0.0170006018895006</v>
      </c>
      <c r="I1964" t="n">
        <v>0.2100631663664815</v>
      </c>
      <c r="J1964" t="n">
        <v>0.0177570164792806</v>
      </c>
      <c r="K1964" t="n">
        <v>0.6221407322330941</v>
      </c>
      <c r="L1964" t="b">
        <v>0</v>
      </c>
      <c r="M1964" t="b">
        <v>0</v>
      </c>
      <c r="N1964" t="inlineStr">
        <is>
          <t>alt</t>
        </is>
      </c>
      <c r="O1964" t="n">
        <v>100</v>
      </c>
      <c r="P1964" t="n">
        <v>0.005608</v>
      </c>
      <c r="Q1964" t="n">
        <v>40</v>
      </c>
      <c r="R1964" t="n">
        <v>0.06560000000000001</v>
      </c>
      <c r="S1964">
        <f>IMAGE("https://mitra.stanford.edu/kundaje/oak/projects/neuro-variants/variant_position/credible/roussos_2024/variant_figures/roussos_2024.childhood.Astrocyte/rs4891041_count_position.png",4,220,900)</f>
        <v/>
      </c>
      <c r="T1964">
        <f>IMAGE("https://mitra.stanford.edu/kundaje/oak/projects/neuro-variants/variant_position/credible/roussos_2024/variant_figures/roussos_2024.childhood.Astrocyte/rs4891041_profile_position.png",4,220,900)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-0.0461268773199999</v>
      </c>
      <c r="G1965" t="n">
        <v>0.3043668984752603</v>
      </c>
      <c r="H1965" t="n">
        <v>0.010273930677092</v>
      </c>
      <c r="I1965" t="n">
        <v>0.683353827408125</v>
      </c>
      <c r="J1965" t="n">
        <v>0.0190118537855021</v>
      </c>
      <c r="K1965" t="n">
        <v>0.5980936054884496</v>
      </c>
      <c r="L1965" t="b">
        <v>0</v>
      </c>
      <c r="M1965" t="b">
        <v>0</v>
      </c>
      <c r="N1965" t="inlineStr">
        <is>
          <t>ref</t>
        </is>
      </c>
      <c r="O1965" t="n">
        <v>100</v>
      </c>
      <c r="P1965" t="n">
        <v>0.02751</v>
      </c>
      <c r="Q1965" t="n">
        <v>20</v>
      </c>
      <c r="R1965" t="n">
        <v>0.02881</v>
      </c>
      <c r="S1965">
        <f>IMAGE("https://mitra.stanford.edu/kundaje/oak/projects/neuro-variants/variant_position/credible/roussos_2024/variant_figures/roussos_2024.childhood.Astrocyte/rs4334389_count_position.png",4,220,900)</f>
        <v/>
      </c>
      <c r="T1965">
        <f>IMAGE("https://mitra.stanford.edu/kundaje/oak/projects/neuro-variants/variant_position/credible/roussos_2024/variant_figures/roussos_2024.childhood.Astrocyte/rs4334389_profile_position.png",4,220,900)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-0.0266115809999999</v>
      </c>
      <c r="G1966" t="n">
        <v>0.4044892354677557</v>
      </c>
      <c r="H1966" t="n">
        <v>0.0157085177418431</v>
      </c>
      <c r="I1966" t="n">
        <v>0.2615738257154992</v>
      </c>
      <c r="J1966" t="n">
        <v>0.2600886934884324</v>
      </c>
      <c r="K1966" t="n">
        <v>0.1590934698239567</v>
      </c>
      <c r="L1966" t="b">
        <v>0</v>
      </c>
      <c r="M1966" t="b">
        <v>0</v>
      </c>
      <c r="N1966" t="inlineStr">
        <is>
          <t>ref</t>
        </is>
      </c>
      <c r="O1966" t="n">
        <v>-55</v>
      </c>
      <c r="P1966" t="n">
        <v>0.0095</v>
      </c>
      <c r="Q1966" t="n">
        <v>25</v>
      </c>
      <c r="R1966" t="n">
        <v>0.05823</v>
      </c>
      <c r="S1966">
        <f>IMAGE("https://mitra.stanford.edu/kundaje/oak/projects/neuro-variants/variant_position/credible/roussos_2024/variant_figures/roussos_2024.childhood.Astrocyte/rs9963429_count_position.png",4,220,900)</f>
        <v/>
      </c>
      <c r="T1966">
        <f>IMAGE("https://mitra.stanford.edu/kundaje/oak/projects/neuro-variants/variant_position/credible/roussos_2024/variant_figures/roussos_2024.childhood.Astrocyte/rs9963429_profile_position.png",4,220,900)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0.0433003084</v>
      </c>
      <c r="G1967" t="n">
        <v>0.2592725953193467</v>
      </c>
      <c r="H1967" t="n">
        <v>0.0097231702197892</v>
      </c>
      <c r="I1967" t="n">
        <v>0.7411907272850284</v>
      </c>
      <c r="J1967" t="n">
        <v>0.123174799447383</v>
      </c>
      <c r="K1967" t="n">
        <v>0.2888960092777363</v>
      </c>
      <c r="L1967" t="b">
        <v>0</v>
      </c>
      <c r="M1967" t="b">
        <v>0</v>
      </c>
      <c r="N1967" t="inlineStr">
        <is>
          <t>alt</t>
        </is>
      </c>
      <c r="O1967" t="n">
        <v>90</v>
      </c>
      <c r="P1967" t="n">
        <v>0.02138</v>
      </c>
      <c r="Q1967" t="n">
        <v>80</v>
      </c>
      <c r="R1967" t="n">
        <v>0.006958</v>
      </c>
      <c r="S1967">
        <f>IMAGE("https://mitra.stanford.edu/kundaje/oak/projects/neuro-variants/variant_position/credible/roussos_2024/variant_figures/roussos_2024.childhood.Astrocyte/rs4891211_count_position.png",4,220,900)</f>
        <v/>
      </c>
      <c r="T1967">
        <f>IMAGE("https://mitra.stanford.edu/kundaje/oak/projects/neuro-variants/variant_position/credible/roussos_2024/variant_figures/roussos_2024.childhood.Astrocyte/rs4891211_profile_position.png",4,220,900)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-0.00426042494</v>
      </c>
      <c r="G1968" t="n">
        <v>0.8532270749681589</v>
      </c>
      <c r="H1968" t="n">
        <v>0.0252913180503083</v>
      </c>
      <c r="I1968" t="n">
        <v>0.0567408759173895</v>
      </c>
      <c r="J1968" t="n">
        <v>0.0720157541618006</v>
      </c>
      <c r="K1968" t="n">
        <v>0.3850279412926075</v>
      </c>
      <c r="L1968" t="b">
        <v>0</v>
      </c>
      <c r="M1968" t="b">
        <v>0</v>
      </c>
      <c r="N1968" t="inlineStr">
        <is>
          <t>ref</t>
        </is>
      </c>
      <c r="O1968" t="n">
        <v>-65</v>
      </c>
      <c r="P1968" t="n">
        <v>0.00441</v>
      </c>
      <c r="Q1968" t="n">
        <v>-95</v>
      </c>
      <c r="R1968" t="n">
        <v>0.1061</v>
      </c>
      <c r="S1968">
        <f>IMAGE("https://mitra.stanford.edu/kundaje/oak/projects/neuro-variants/variant_position/credible/roussos_2024/variant_figures/roussos_2024.childhood.Astrocyte/rs4891042_count_position.png",4,220,900)</f>
        <v/>
      </c>
      <c r="T1968">
        <f>IMAGE("https://mitra.stanford.edu/kundaje/oak/projects/neuro-variants/variant_position/credible/roussos_2024/variant_figures/roussos_2024.childhood.Astrocyte/rs4891042_profile_position.png",4,220,900)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-0.1755045315999999</v>
      </c>
      <c r="G1969" t="n">
        <v>0.0326744925061525</v>
      </c>
      <c r="H1969" t="n">
        <v>0.0372127894872801</v>
      </c>
      <c r="I1969" t="n">
        <v>0.0153402499385292</v>
      </c>
      <c r="J1969" t="n">
        <v>0.0407341256211215</v>
      </c>
      <c r="K1969" t="n">
        <v>0.4893211128316464</v>
      </c>
      <c r="L1969" t="b">
        <v>1</v>
      </c>
      <c r="M1969" t="b">
        <v>0</v>
      </c>
      <c r="N1969" t="inlineStr">
        <is>
          <t>ref</t>
        </is>
      </c>
      <c r="O1969" t="n">
        <v>55</v>
      </c>
      <c r="P1969" t="n">
        <v>0.01103</v>
      </c>
      <c r="Q1969" t="n">
        <v>0</v>
      </c>
      <c r="R1969" t="n">
        <v>0</v>
      </c>
      <c r="S1969">
        <f>IMAGE("https://mitra.stanford.edu/kundaje/oak/projects/neuro-variants/variant_position/credible/roussos_2024/variant_figures/roussos_2024.childhood.Astrocyte/rs9964094_count_position.png",4,220,900)</f>
        <v/>
      </c>
      <c r="T1969">
        <f>IMAGE("https://mitra.stanford.edu/kundaje/oak/projects/neuro-variants/variant_position/credible/roussos_2024/variant_figures/roussos_2024.childhood.Astrocyte/rs9964094_profile_position.png",4,220,900)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0.183729242</v>
      </c>
      <c r="G1970" t="n">
        <v>0.0229797694505924</v>
      </c>
      <c r="H1970" t="n">
        <v>0.0200252159275546</v>
      </c>
      <c r="I1970" t="n">
        <v>0.1285523133665729</v>
      </c>
      <c r="J1970" t="n">
        <v>0.0655644859670414</v>
      </c>
      <c r="K1970" t="n">
        <v>0.4114421922221469</v>
      </c>
      <c r="L1970" t="b">
        <v>0</v>
      </c>
      <c r="M1970" t="b">
        <v>0</v>
      </c>
      <c r="N1970" t="inlineStr">
        <is>
          <t>alt</t>
        </is>
      </c>
      <c r="O1970" t="n">
        <v>-10</v>
      </c>
      <c r="P1970" t="n">
        <v>0.00119</v>
      </c>
      <c r="Q1970" t="n">
        <v>-65</v>
      </c>
      <c r="R1970" t="n">
        <v>0.05908</v>
      </c>
      <c r="S1970">
        <f>IMAGE("https://mitra.stanford.edu/kundaje/oak/projects/neuro-variants/variant_position/credible/roussos_2024/variant_figures/roussos_2024.childhood.Astrocyte/rs9964170_count_position.png",4,220,900)</f>
        <v/>
      </c>
      <c r="T1970">
        <f>IMAGE("https://mitra.stanford.edu/kundaje/oak/projects/neuro-variants/variant_position/credible/roussos_2024/variant_figures/roussos_2024.childhood.Astrocyte/rs9964170_profile_position.png",4,220,900)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-0.00165754106</v>
      </c>
      <c r="G1971" t="n">
        <v>0.4659232580182691</v>
      </c>
      <c r="H1971" t="n">
        <v>0.0155263971073074</v>
      </c>
      <c r="I1971" t="n">
        <v>0.2699303941063685</v>
      </c>
      <c r="J1971" t="n">
        <v>0.2481013334554585</v>
      </c>
      <c r="K1971" t="n">
        <v>0.1660912366278675</v>
      </c>
      <c r="L1971" t="b">
        <v>0</v>
      </c>
      <c r="M1971" t="b">
        <v>0</v>
      </c>
      <c r="N1971" t="inlineStr">
        <is>
          <t>ref</t>
        </is>
      </c>
      <c r="O1971" t="n">
        <v>0</v>
      </c>
      <c r="P1971" t="n">
        <v>0</v>
      </c>
      <c r="Q1971" t="n">
        <v>65</v>
      </c>
      <c r="R1971" t="n">
        <v>0.0619</v>
      </c>
      <c r="S1971">
        <f>IMAGE("https://mitra.stanford.edu/kundaje/oak/projects/neuro-variants/variant_position/credible/roussos_2024/variant_figures/roussos_2024.childhood.Astrocyte/rs2920353_count_position.png",4,220,900)</f>
        <v/>
      </c>
      <c r="T1971">
        <f>IMAGE("https://mitra.stanford.edu/kundaje/oak/projects/neuro-variants/variant_position/credible/roussos_2024/variant_figures/roussos_2024.childhood.Astrocyte/rs2920353_profile_position.png",4,220,900)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0.0438711111999999</v>
      </c>
      <c r="G1972" t="n">
        <v>0.2522877825255183</v>
      </c>
      <c r="H1972" t="n">
        <v>0.0118319373935794</v>
      </c>
      <c r="I1972" t="n">
        <v>0.5240258322197477</v>
      </c>
      <c r="J1972" t="n">
        <v>0.1529352049033301</v>
      </c>
      <c r="K1972" t="n">
        <v>0.2504744442168716</v>
      </c>
      <c r="L1972" t="b">
        <v>0</v>
      </c>
      <c r="M1972" t="b">
        <v>0</v>
      </c>
      <c r="N1972" t="inlineStr">
        <is>
          <t>alt</t>
        </is>
      </c>
      <c r="O1972" t="n">
        <v>100</v>
      </c>
      <c r="P1972" t="n">
        <v>0.003002</v>
      </c>
      <c r="Q1972" t="n">
        <v>-5</v>
      </c>
      <c r="R1972" t="n">
        <v>0.01807</v>
      </c>
      <c r="S1972">
        <f>IMAGE("https://mitra.stanford.edu/kundaje/oak/projects/neuro-variants/variant_position/credible/roussos_2024/variant_figures/roussos_2024.childhood.Astrocyte/rs9947731_count_position.png",4,220,900)</f>
        <v/>
      </c>
      <c r="T1972">
        <f>IMAGE("https://mitra.stanford.edu/kundaje/oak/projects/neuro-variants/variant_position/credible/roussos_2024/variant_figures/roussos_2024.childhood.Astrocyte/rs9947731_profile_position.png",4,220,900)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0.0046097788</v>
      </c>
      <c r="G1973" t="n">
        <v>0.424216478054047</v>
      </c>
      <c r="H1973" t="n">
        <v>0.0087316040047753</v>
      </c>
      <c r="I1973" t="n">
        <v>0.818358069181087</v>
      </c>
      <c r="J1973" t="n">
        <v>0.1671185302221916</v>
      </c>
      <c r="K1973" t="n">
        <v>0.231354520405451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0.00842</v>
      </c>
      <c r="Q1973" t="n">
        <v>-90</v>
      </c>
      <c r="R1973" t="n">
        <v>0.11646</v>
      </c>
      <c r="S1973">
        <f>IMAGE("https://mitra.stanford.edu/kundaje/oak/projects/neuro-variants/variant_position/credible/roussos_2024/variant_figures/roussos_2024.childhood.Astrocyte/rs7241108_count_position.png",4,220,900)</f>
        <v/>
      </c>
      <c r="T1973">
        <f>IMAGE("https://mitra.stanford.edu/kundaje/oak/projects/neuro-variants/variant_position/credible/roussos_2024/variant_figures/roussos_2024.childhood.Astrocyte/rs7241108_profile_position.png",4,220,900)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0.01468613696</v>
      </c>
      <c r="G1974" t="n">
        <v>0.6038741971859336</v>
      </c>
      <c r="H1974" t="n">
        <v>0.0086942233942619</v>
      </c>
      <c r="I1974" t="n">
        <v>0.8418882736092566</v>
      </c>
      <c r="J1974" t="n">
        <v>0.0370093044201719</v>
      </c>
      <c r="K1974" t="n">
        <v>0.5166876123350328</v>
      </c>
      <c r="L1974" t="b">
        <v>0</v>
      </c>
      <c r="M1974" t="b">
        <v>0</v>
      </c>
      <c r="N1974" t="inlineStr">
        <is>
          <t>alt</t>
        </is>
      </c>
      <c r="O1974" t="n">
        <v>70</v>
      </c>
      <c r="P1974" t="n">
        <v>0.003334</v>
      </c>
      <c r="Q1974" t="n">
        <v>-65</v>
      </c>
      <c r="R1974" t="n">
        <v>0.1514</v>
      </c>
      <c r="S1974">
        <f>IMAGE("https://mitra.stanford.edu/kundaje/oak/projects/neuro-variants/variant_position/credible/roussos_2024/variant_figures/roussos_2024.childhood.Astrocyte/rs9961644_count_position.png",4,220,900)</f>
        <v/>
      </c>
      <c r="T1974">
        <f>IMAGE("https://mitra.stanford.edu/kundaje/oak/projects/neuro-variants/variant_position/credible/roussos_2024/variant_figures/roussos_2024.childhood.Astrocyte/rs9961644_profile_position.png",4,220,900)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-0.0167171388</v>
      </c>
      <c r="G1975" t="n">
        <v>0.5500949214914288</v>
      </c>
      <c r="H1975" t="n">
        <v>0.009548627120651699</v>
      </c>
      <c r="I1975" t="n">
        <v>0.7684561613097939</v>
      </c>
      <c r="J1975" t="n">
        <v>0.1137726790471174</v>
      </c>
      <c r="K1975" t="n">
        <v>0.304160034551902</v>
      </c>
      <c r="L1975" t="b">
        <v>0</v>
      </c>
      <c r="M1975" t="b">
        <v>0</v>
      </c>
      <c r="N1975" t="inlineStr">
        <is>
          <t>ref</t>
        </is>
      </c>
      <c r="O1975" t="n">
        <v>-95</v>
      </c>
      <c r="P1975" t="n">
        <v>0.002987</v>
      </c>
      <c r="Q1975" t="n">
        <v>-100</v>
      </c>
      <c r="R1975" t="n">
        <v>0.0779</v>
      </c>
      <c r="S1975">
        <f>IMAGE("https://mitra.stanford.edu/kundaje/oak/projects/neuro-variants/variant_position/credible/roussos_2024/variant_figures/roussos_2024.childhood.Astrocyte/rs7234127_count_position.png",4,220,900)</f>
        <v/>
      </c>
      <c r="T1975">
        <f>IMAGE("https://mitra.stanford.edu/kundaje/oak/projects/neuro-variants/variant_position/credible/roussos_2024/variant_figures/roussos_2024.childhood.Astrocyte/rs7234127_profile_position.png",4,220,900)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0.0177146946</v>
      </c>
      <c r="G1976" t="n">
        <v>0.5661826726452965</v>
      </c>
      <c r="H1976" t="n">
        <v>0.0195316080862972</v>
      </c>
      <c r="I1976" t="n">
        <v>0.1348621014799772</v>
      </c>
      <c r="J1976" t="n">
        <v>0.0004274384984695</v>
      </c>
      <c r="K1976" t="n">
        <v>0.948762239297246</v>
      </c>
      <c r="L1976" t="b">
        <v>0</v>
      </c>
      <c r="M1976" t="b">
        <v>0</v>
      </c>
      <c r="N1976" t="inlineStr">
        <is>
          <t>alt</t>
        </is>
      </c>
      <c r="O1976" t="n">
        <v>100</v>
      </c>
      <c r="P1976" t="n">
        <v>0.01254</v>
      </c>
      <c r="Q1976" t="n">
        <v>70</v>
      </c>
      <c r="R1976" t="n">
        <v>0.098</v>
      </c>
      <c r="S1976">
        <f>IMAGE("https://mitra.stanford.edu/kundaje/oak/projects/neuro-variants/variant_position/credible/roussos_2024/variant_figures/roussos_2024.childhood.Astrocyte/rs9950694_count_position.png",4,220,900)</f>
        <v/>
      </c>
      <c r="T1976">
        <f>IMAGE("https://mitra.stanford.edu/kundaje/oak/projects/neuro-variants/variant_position/credible/roussos_2024/variant_figures/roussos_2024.childhood.Astrocyte/rs9950694_profile_position.png",4,220,900)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-0.001731953146</v>
      </c>
      <c r="G1977" t="n">
        <v>0.90802494906373</v>
      </c>
      <c r="H1977" t="n">
        <v>0.0287089180169476</v>
      </c>
      <c r="I1977" t="n">
        <v>0.0348593793103688</v>
      </c>
      <c r="J1977" t="n">
        <v>0.0063550945326035</v>
      </c>
      <c r="K1977" t="n">
        <v>0.7506083639095628</v>
      </c>
      <c r="L1977" t="b">
        <v>0</v>
      </c>
      <c r="M1977" t="b">
        <v>0</v>
      </c>
      <c r="N1977" t="inlineStr">
        <is>
          <t>ref</t>
        </is>
      </c>
      <c r="O1977" t="n">
        <v>80</v>
      </c>
      <c r="P1977" t="n">
        <v>0.00341</v>
      </c>
      <c r="Q1977" t="n">
        <v>80</v>
      </c>
      <c r="R1977" t="n">
        <v>0.295</v>
      </c>
      <c r="S1977">
        <f>IMAGE("https://mitra.stanford.edu/kundaje/oak/projects/neuro-variants/variant_position/credible/roussos_2024/variant_figures/roussos_2024.childhood.Astrocyte/rs894577_count_position.png",4,220,900)</f>
        <v/>
      </c>
      <c r="T1977">
        <f>IMAGE("https://mitra.stanford.edu/kundaje/oak/projects/neuro-variants/variant_position/credible/roussos_2024/variant_figures/roussos_2024.childhood.Astrocyte/rs894577_profile_position.png",4,220,900)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-0.1299138784</v>
      </c>
      <c r="G1978" t="n">
        <v>0.0487479625646502</v>
      </c>
      <c r="H1978" t="n">
        <v>0.0299290556531869</v>
      </c>
      <c r="I1978" t="n">
        <v>0.0352485458924801</v>
      </c>
      <c r="J1978" t="n">
        <v>0.091722958790349</v>
      </c>
      <c r="K1978" t="n">
        <v>0.3364607104881812</v>
      </c>
      <c r="L1978" t="b">
        <v>0</v>
      </c>
      <c r="M1978" t="b">
        <v>0</v>
      </c>
      <c r="N1978" t="inlineStr">
        <is>
          <t>ref</t>
        </is>
      </c>
      <c r="O1978" t="n">
        <v>-25</v>
      </c>
      <c r="P1978" t="n">
        <v>0.00647</v>
      </c>
      <c r="Q1978" t="n">
        <v>-80</v>
      </c>
      <c r="R1978" t="n">
        <v>0.063</v>
      </c>
      <c r="S1978">
        <f>IMAGE("https://mitra.stanford.edu/kundaje/oak/projects/neuro-variants/variant_position/credible/roussos_2024/variant_figures/roussos_2024.childhood.Astrocyte/rs9319675_count_position.png",4,220,900)</f>
        <v/>
      </c>
      <c r="T1978">
        <f>IMAGE("https://mitra.stanford.edu/kundaje/oak/projects/neuro-variants/variant_position/credible/roussos_2024/variant_figures/roussos_2024.childhood.Astrocyte/rs9319675_profile_position.png",4,220,900)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-0.0754347016</v>
      </c>
      <c r="G1979" t="n">
        <v>0.1162405090723354</v>
      </c>
      <c r="H1979" t="n">
        <v>0.0141996948625893</v>
      </c>
      <c r="I1979" t="n">
        <v>0.3419115266521491</v>
      </c>
      <c r="J1979" t="n">
        <v>0.0159426927098837</v>
      </c>
      <c r="K1979" t="n">
        <v>0.6329716208873621</v>
      </c>
      <c r="L1979" t="b">
        <v>0</v>
      </c>
      <c r="M1979" t="b">
        <v>0</v>
      </c>
      <c r="N1979" t="inlineStr">
        <is>
          <t>ref</t>
        </is>
      </c>
      <c r="O1979" t="n">
        <v>-100</v>
      </c>
      <c r="P1979" t="n">
        <v>0.01181</v>
      </c>
      <c r="Q1979" t="n">
        <v>-95</v>
      </c>
      <c r="R1979" t="n">
        <v>0.169</v>
      </c>
      <c r="S1979">
        <f>IMAGE("https://mitra.stanford.edu/kundaje/oak/projects/neuro-variants/variant_position/credible/roussos_2024/variant_figures/roussos_2024.childhood.Astrocyte/rs4891221_count_position.png",4,220,900)</f>
        <v/>
      </c>
      <c r="T1979">
        <f>IMAGE("https://mitra.stanford.edu/kundaje/oak/projects/neuro-variants/variant_position/credible/roussos_2024/variant_figures/roussos_2024.childhood.Astrocyte/rs4891221_profile_position.png",4,220,900)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0.007937785467999999</v>
      </c>
      <c r="G1980" t="n">
        <v>0.7662809328748155</v>
      </c>
      <c r="H1980" t="n">
        <v>0.0132023240255059</v>
      </c>
      <c r="I1980" t="n">
        <v>0.4086745900984356</v>
      </c>
      <c r="J1980" t="n">
        <v>0.3308457939288466</v>
      </c>
      <c r="K1980" t="n">
        <v>0.1159559601151042</v>
      </c>
      <c r="L1980" t="b">
        <v>0</v>
      </c>
      <c r="M1980" t="b">
        <v>0</v>
      </c>
      <c r="N1980" t="inlineStr">
        <is>
          <t>alt</t>
        </is>
      </c>
      <c r="O1980" t="n">
        <v>35</v>
      </c>
      <c r="P1980" t="n">
        <v>0.000349</v>
      </c>
      <c r="Q1980" t="n">
        <v>100</v>
      </c>
      <c r="R1980" t="n">
        <v>0.03943</v>
      </c>
      <c r="S1980">
        <f>IMAGE("https://mitra.stanford.edu/kundaje/oak/projects/neuro-variants/variant_position/credible/roussos_2024/variant_figures/roussos_2024.childhood.Astrocyte/rs115000070_count_position.png",4,220,900)</f>
        <v/>
      </c>
      <c r="T1980">
        <f>IMAGE("https://mitra.stanford.edu/kundaje/oak/projects/neuro-variants/variant_position/credible/roussos_2024/variant_figures/roussos_2024.childhood.Astrocyte/rs115000070_profile_position.png",4,220,900)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-0.08091568740000001</v>
      </c>
      <c r="G1981" t="n">
        <v>0.1269398104157513</v>
      </c>
      <c r="H1981" t="n">
        <v>0.0329328964422297</v>
      </c>
      <c r="I1981" t="n">
        <v>0.0246758831623992</v>
      </c>
      <c r="J1981" t="n">
        <v>0.6489653698487936</v>
      </c>
      <c r="K1981" t="n">
        <v>0.0257521348928084</v>
      </c>
      <c r="L1981" t="b">
        <v>0</v>
      </c>
      <c r="M1981" t="b">
        <v>0</v>
      </c>
      <c r="N1981" t="inlineStr">
        <is>
          <t>ref</t>
        </is>
      </c>
      <c r="O1981" t="n">
        <v>-50</v>
      </c>
      <c r="P1981" t="n">
        <v>0.01507</v>
      </c>
      <c r="Q1981" t="n">
        <v>95</v>
      </c>
      <c r="R1981" t="n">
        <v>0.1764</v>
      </c>
      <c r="S1981">
        <f>IMAGE("https://mitra.stanford.edu/kundaje/oak/projects/neuro-variants/variant_position/credible/roussos_2024/variant_figures/roussos_2024.childhood.Astrocyte/rs12457876_count_position.png",4,220,900)</f>
        <v/>
      </c>
      <c r="T1981">
        <f>IMAGE("https://mitra.stanford.edu/kundaje/oak/projects/neuro-variants/variant_position/credible/roussos_2024/variant_figures/roussos_2024.childhood.Astrocyte/rs12457876_profile_position.png",4,220,900)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-0.0269323551999999</v>
      </c>
      <c r="G1982" t="n">
        <v>0.390554858286133</v>
      </c>
      <c r="H1982" t="n">
        <v>0.0139844918557776</v>
      </c>
      <c r="I1982" t="n">
        <v>0.3651014650622893</v>
      </c>
      <c r="J1982" t="n">
        <v>0.3332882996343874</v>
      </c>
      <c r="K1982" t="n">
        <v>0.1159456516843828</v>
      </c>
      <c r="L1982" t="b">
        <v>0</v>
      </c>
      <c r="M1982" t="b">
        <v>0</v>
      </c>
      <c r="N1982" t="inlineStr">
        <is>
          <t>ref</t>
        </is>
      </c>
      <c r="O1982" t="n">
        <v>100</v>
      </c>
      <c r="P1982" t="n">
        <v>0.00396</v>
      </c>
      <c r="Q1982" t="n">
        <v>-10</v>
      </c>
      <c r="R1982" t="n">
        <v>0.01924</v>
      </c>
      <c r="S1982">
        <f>IMAGE("https://mitra.stanford.edu/kundaje/oak/projects/neuro-variants/variant_position/credible/roussos_2024/variant_figures/roussos_2024.childhood.Astrocyte/rs11664298_count_position.png",4,220,900)</f>
        <v/>
      </c>
      <c r="T1982">
        <f>IMAGE("https://mitra.stanford.edu/kundaje/oak/projects/neuro-variants/variant_position/credible/roussos_2024/variant_figures/roussos_2024.childhood.Astrocyte/rs11664298_profile_position.png",4,220,900)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0.1490192955399999</v>
      </c>
      <c r="G1983" t="n">
        <v>0.0418606920887445</v>
      </c>
      <c r="H1983" t="n">
        <v>0.0358482755057383</v>
      </c>
      <c r="I1983" t="n">
        <v>0.0168436865569111</v>
      </c>
      <c r="J1983" t="n">
        <v>0.633921061268729</v>
      </c>
      <c r="K1983" t="n">
        <v>0.0274157443871257</v>
      </c>
      <c r="L1983" t="b">
        <v>1</v>
      </c>
      <c r="M1983" t="b">
        <v>0</v>
      </c>
      <c r="N1983" t="inlineStr">
        <is>
          <t>alt</t>
        </is>
      </c>
      <c r="O1983" t="n">
        <v>-100</v>
      </c>
      <c r="P1983" t="n">
        <v>0.00864</v>
      </c>
      <c r="Q1983" t="n">
        <v>-50</v>
      </c>
      <c r="R1983" t="n">
        <v>0.03656</v>
      </c>
      <c r="S1983">
        <f>IMAGE("https://mitra.stanford.edu/kundaje/oak/projects/neuro-variants/variant_position/credible/roussos_2024/variant_figures/roussos_2024.childhood.Astrocyte/rs59183289_count_position.png",4,220,900)</f>
        <v/>
      </c>
      <c r="T1983">
        <f>IMAGE("https://mitra.stanford.edu/kundaje/oak/projects/neuro-variants/variant_position/credible/roussos_2024/variant_figures/roussos_2024.childhood.Astrocyte/rs59183289_profile_position.png",4,220,900)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-0.0456508313999999</v>
      </c>
      <c r="G1984" t="n">
        <v>0.2225875656236507</v>
      </c>
      <c r="H1984" t="n">
        <v>0.0291419844672566</v>
      </c>
      <c r="I1984" t="n">
        <v>0.0378676832930155</v>
      </c>
      <c r="J1984" t="n">
        <v>0.624665491210796</v>
      </c>
      <c r="K1984" t="n">
        <v>0.0294734780743612</v>
      </c>
      <c r="L1984" t="b">
        <v>0</v>
      </c>
      <c r="M1984" t="b">
        <v>0</v>
      </c>
      <c r="N1984" t="inlineStr">
        <is>
          <t>ref</t>
        </is>
      </c>
      <c r="O1984" t="n">
        <v>90</v>
      </c>
      <c r="P1984" t="n">
        <v>0.01717</v>
      </c>
      <c r="Q1984" t="n">
        <v>15</v>
      </c>
      <c r="R1984" t="n">
        <v>0.0515</v>
      </c>
      <c r="S1984">
        <f>IMAGE("https://mitra.stanford.edu/kundaje/oak/projects/neuro-variants/variant_position/credible/roussos_2024/variant_figures/roussos_2024.childhood.Astrocyte/rs72980085_count_position.png",4,220,900)</f>
        <v/>
      </c>
      <c r="T1984">
        <f>IMAGE("https://mitra.stanford.edu/kundaje/oak/projects/neuro-variants/variant_position/credible/roussos_2024/variant_figures/roussos_2024.childhood.Astrocyte/rs72980085_profile_position.png",4,220,900)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-0.02215109974</v>
      </c>
      <c r="G1985" t="n">
        <v>0.3257410727700738</v>
      </c>
      <c r="H1985" t="n">
        <v>0.0156934079071732</v>
      </c>
      <c r="I1985" t="n">
        <v>0.2627678865445643</v>
      </c>
      <c r="J1985" t="n">
        <v>0.7904200346530497</v>
      </c>
      <c r="K1985" t="n">
        <v>0.0084529149097398</v>
      </c>
      <c r="L1985" t="b">
        <v>0</v>
      </c>
      <c r="M1985" t="b">
        <v>0</v>
      </c>
      <c r="N1985" t="inlineStr">
        <is>
          <t>ref</t>
        </is>
      </c>
      <c r="O1985" t="n">
        <v>-100</v>
      </c>
      <c r="P1985" t="n">
        <v>0.044</v>
      </c>
      <c r="Q1985" t="n">
        <v>-65</v>
      </c>
      <c r="R1985" t="n">
        <v>0.09717000000000001</v>
      </c>
      <c r="S1985">
        <f>IMAGE("https://mitra.stanford.edu/kundaje/oak/projects/neuro-variants/variant_position/credible/roussos_2024/variant_figures/roussos_2024.childhood.Astrocyte/rs56197868_count_position.png",4,220,900)</f>
        <v/>
      </c>
      <c r="T1985">
        <f>IMAGE("https://mitra.stanford.edu/kundaje/oak/projects/neuro-variants/variant_position/credible/roussos_2024/variant_figures/roussos_2024.childhood.Astrocyte/rs56197868_profile_position.png",4,220,900)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0.17761731</v>
      </c>
      <c r="G1986" t="n">
        <v>0.0254466506528564</v>
      </c>
      <c r="H1986" t="n">
        <v>0.0162396138493035</v>
      </c>
      <c r="I1986" t="n">
        <v>0.2519793720260955</v>
      </c>
      <c r="J1986" t="n">
        <v>0.666361353453474</v>
      </c>
      <c r="K1986" t="n">
        <v>0.0216989539423868</v>
      </c>
      <c r="L1986" t="b">
        <v>0</v>
      </c>
      <c r="M1986" t="b">
        <v>0</v>
      </c>
      <c r="N1986" t="inlineStr">
        <is>
          <t>alt</t>
        </is>
      </c>
      <c r="O1986" t="n">
        <v>100</v>
      </c>
      <c r="P1986" t="n">
        <v>0.0212</v>
      </c>
      <c r="Q1986" t="n">
        <v>80</v>
      </c>
      <c r="R1986" t="n">
        <v>0.09470000000000001</v>
      </c>
      <c r="S1986">
        <f>IMAGE("https://mitra.stanford.edu/kundaje/oak/projects/neuro-variants/variant_position/credible/roussos_2024/variant_figures/roussos_2024.childhood.Astrocyte/rs4239346_count_position.png",4,220,900)</f>
        <v/>
      </c>
      <c r="T1986">
        <f>IMAGE("https://mitra.stanford.edu/kundaje/oak/projects/neuro-variants/variant_position/credible/roussos_2024/variant_figures/roussos_2024.childhood.Astrocyte/rs4239346_profile_position.png",4,220,900)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-0.24408987</v>
      </c>
      <c r="G1987" t="n">
        <v>0.0104503721752877</v>
      </c>
      <c r="H1987" t="n">
        <v>0.0321968151290084</v>
      </c>
      <c r="I1987" t="n">
        <v>0.0242100994346482</v>
      </c>
      <c r="J1987" t="n">
        <v>0.7433636356697427</v>
      </c>
      <c r="K1987" t="n">
        <v>0.0132258669895397</v>
      </c>
      <c r="L1987" t="b">
        <v>1</v>
      </c>
      <c r="M1987" t="b">
        <v>0</v>
      </c>
      <c r="N1987" t="inlineStr">
        <is>
          <t>ref</t>
        </is>
      </c>
      <c r="O1987" t="n">
        <v>15</v>
      </c>
      <c r="P1987" t="n">
        <v>0.002502</v>
      </c>
      <c r="Q1987" t="n">
        <v>0</v>
      </c>
      <c r="R1987" t="n">
        <v>0</v>
      </c>
      <c r="S1987">
        <f>IMAGE("https://mitra.stanford.edu/kundaje/oak/projects/neuro-variants/variant_position/credible/roussos_2024/variant_figures/roussos_2024.childhood.Astrocyte/rs11662267_count_position.png",4,220,900)</f>
        <v/>
      </c>
      <c r="T1987">
        <f>IMAGE("https://mitra.stanford.edu/kundaje/oak/projects/neuro-variants/variant_position/credible/roussos_2024/variant_figures/roussos_2024.childhood.Astrocyte/rs11662267_profile_position.png",4,220,900)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-0.0319464548799999</v>
      </c>
      <c r="G1988" t="n">
        <v>0.2984410940743004</v>
      </c>
      <c r="H1988" t="n">
        <v>0.0151638582739248</v>
      </c>
      <c r="I1988" t="n">
        <v>0.2876692917287921</v>
      </c>
      <c r="J1988" t="n">
        <v>0.0068809965423278</v>
      </c>
      <c r="K1988" t="n">
        <v>0.7489683567683137</v>
      </c>
      <c r="L1988" t="b">
        <v>0</v>
      </c>
      <c r="M1988" t="b">
        <v>0</v>
      </c>
      <c r="N1988" t="inlineStr">
        <is>
          <t>ref</t>
        </is>
      </c>
      <c r="O1988" t="n">
        <v>-70</v>
      </c>
      <c r="P1988" t="n">
        <v>0.00962</v>
      </c>
      <c r="Q1988" t="n">
        <v>100</v>
      </c>
      <c r="R1988" t="n">
        <v>0.03467</v>
      </c>
      <c r="S1988">
        <f>IMAGE("https://mitra.stanford.edu/kundaje/oak/projects/neuro-variants/variant_position/credible/roussos_2024/variant_figures/roussos_2024.childhood.Astrocyte/rs12953577_count_position.png",4,220,900)</f>
        <v/>
      </c>
      <c r="T1988">
        <f>IMAGE("https://mitra.stanford.edu/kundaje/oak/projects/neuro-variants/variant_position/credible/roussos_2024/variant_figures/roussos_2024.childhood.Astrocyte/rs12953577_profile_position.png",4,220,900)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0.1084902781999999</v>
      </c>
      <c r="G1989" t="n">
        <v>0.0527496361617359</v>
      </c>
      <c r="H1989" t="n">
        <v>0.0190175657947935</v>
      </c>
      <c r="I1989" t="n">
        <v>0.1518244862895854</v>
      </c>
      <c r="J1989" t="n">
        <v>0.7295527924709762</v>
      </c>
      <c r="K1989" t="n">
        <v>0.0146213729226774</v>
      </c>
      <c r="L1989" t="b">
        <v>0</v>
      </c>
      <c r="M1989" t="b">
        <v>0</v>
      </c>
      <c r="N1989" t="inlineStr">
        <is>
          <t>alt</t>
        </is>
      </c>
      <c r="O1989" t="n">
        <v>-35</v>
      </c>
      <c r="P1989" t="n">
        <v>0.002789</v>
      </c>
      <c r="Q1989" t="n">
        <v>60</v>
      </c>
      <c r="R1989" t="n">
        <v>0.09130000000000001</v>
      </c>
      <c r="S1989">
        <f>IMAGE("https://mitra.stanford.edu/kundaje/oak/projects/neuro-variants/variant_position/credible/roussos_2024/variant_figures/roussos_2024.childhood.Astrocyte/rs56862829_count_position.png",4,220,900)</f>
        <v/>
      </c>
      <c r="T1989">
        <f>IMAGE("https://mitra.stanford.edu/kundaje/oak/projects/neuro-variants/variant_position/credible/roussos_2024/variant_figures/roussos_2024.childhood.Astrocyte/rs56862829_profile_position.png",4,220,900)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-0.01629315</v>
      </c>
      <c r="G1990" t="n">
        <v>0.5638453665728416</v>
      </c>
      <c r="H1990" t="n">
        <v>0.0108096724547324</v>
      </c>
      <c r="I1990" t="n">
        <v>0.6278638529466471</v>
      </c>
      <c r="J1990" t="n">
        <v>0.234166075122316</v>
      </c>
      <c r="K1990" t="n">
        <v>0.1745514136463853</v>
      </c>
      <c r="L1990" t="b">
        <v>0</v>
      </c>
      <c r="M1990" t="b">
        <v>0</v>
      </c>
      <c r="N1990" t="inlineStr">
        <is>
          <t>ref</t>
        </is>
      </c>
      <c r="O1990" t="n">
        <v>-90</v>
      </c>
      <c r="P1990" t="n">
        <v>0.01111</v>
      </c>
      <c r="Q1990" t="n">
        <v>100</v>
      </c>
      <c r="R1990" t="n">
        <v>0.02539</v>
      </c>
      <c r="S1990">
        <f>IMAGE("https://mitra.stanford.edu/kundaje/oak/projects/neuro-variants/variant_position/credible/roussos_2024/variant_figures/roussos_2024.childhood.Astrocyte/rs72486339_count_position.png",4,220,900)</f>
        <v/>
      </c>
      <c r="T1990">
        <f>IMAGE("https://mitra.stanford.edu/kundaje/oak/projects/neuro-variants/variant_position/credible/roussos_2024/variant_figures/roussos_2024.childhood.Astrocyte/rs72486339_profile_position.png",4,220,900)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-0.0014303975499999</v>
      </c>
      <c r="G1991" t="n">
        <v>0.919592835516954</v>
      </c>
      <c r="H1991" t="n">
        <v>0.0295327588698866</v>
      </c>
      <c r="I1991" t="n">
        <v>0.0315752764926445</v>
      </c>
      <c r="J1991" t="n">
        <v>0.0062093074733041</v>
      </c>
      <c r="K1991" t="n">
        <v>0.761472871207641</v>
      </c>
      <c r="L1991" t="b">
        <v>0</v>
      </c>
      <c r="M1991" t="b">
        <v>0</v>
      </c>
      <c r="N1991" t="inlineStr">
        <is>
          <t>ref</t>
        </is>
      </c>
      <c r="O1991" t="n">
        <v>-50</v>
      </c>
      <c r="P1991" t="n">
        <v>0.005768</v>
      </c>
      <c r="Q1991" t="n">
        <v>-95</v>
      </c>
      <c r="R1991" t="n">
        <v>0.0631</v>
      </c>
      <c r="S1991">
        <f>IMAGE("https://mitra.stanford.edu/kundaje/oak/projects/neuro-variants/variant_position/credible/roussos_2024/variant_figures/roussos_2024.childhood.Astrocyte/rs117443676_count_position.png",4,220,900)</f>
        <v/>
      </c>
      <c r="T1991">
        <f>IMAGE("https://mitra.stanford.edu/kundaje/oak/projects/neuro-variants/variant_position/credible/roussos_2024/variant_figures/roussos_2024.childhood.Astrocyte/rs117443676_profile_position.png",4,220,900)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0.004116680914</v>
      </c>
      <c r="G1992" t="n">
        <v>0.832607214827945</v>
      </c>
      <c r="H1992" t="n">
        <v>0.009964733669071401</v>
      </c>
      <c r="I1992" t="n">
        <v>0.719267160249946</v>
      </c>
      <c r="J1992" t="n">
        <v>0.2055620434613358</v>
      </c>
      <c r="K1992" t="n">
        <v>0.1968307392428941</v>
      </c>
      <c r="L1992" t="b">
        <v>0</v>
      </c>
      <c r="M1992" t="b">
        <v>0</v>
      </c>
      <c r="N1992" t="inlineStr">
        <is>
          <t>alt</t>
        </is>
      </c>
      <c r="O1992" t="n">
        <v>100</v>
      </c>
      <c r="P1992" t="n">
        <v>0.007812</v>
      </c>
      <c r="Q1992" t="n">
        <v>100</v>
      </c>
      <c r="R1992" t="n">
        <v>0.10834</v>
      </c>
      <c r="S1992">
        <f>IMAGE("https://mitra.stanford.edu/kundaje/oak/projects/neuro-variants/variant_position/credible/roussos_2024/variant_figures/roussos_2024.childhood.Astrocyte/rs149339216_count_position.png",4,220,900)</f>
        <v/>
      </c>
      <c r="T1992">
        <f>IMAGE("https://mitra.stanford.edu/kundaje/oak/projects/neuro-variants/variant_position/credible/roussos_2024/variant_figures/roussos_2024.childhood.Astrocyte/rs149339216_profile_position.png",4,220,900)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-0.187189964</v>
      </c>
      <c r="G1993" t="n">
        <v>0.0196749987601638</v>
      </c>
      <c r="H1993" t="n">
        <v>0.0213276967051745</v>
      </c>
      <c r="I1993" t="n">
        <v>0.1032749243070199</v>
      </c>
      <c r="J1993" t="n">
        <v>0.1361048140260889</v>
      </c>
      <c r="K1993" t="n">
        <v>0.2697546536869019</v>
      </c>
      <c r="L1993" t="b">
        <v>1</v>
      </c>
      <c r="M1993" t="b">
        <v>0</v>
      </c>
      <c r="N1993" t="inlineStr">
        <is>
          <t>ref</t>
        </is>
      </c>
      <c r="O1993" t="n">
        <v>-95</v>
      </c>
      <c r="P1993" t="n">
        <v>0.01392</v>
      </c>
      <c r="Q1993" t="n">
        <v>45</v>
      </c>
      <c r="R1993" t="n">
        <v>0.09344</v>
      </c>
      <c r="S1993">
        <f>IMAGE("https://mitra.stanford.edu/kundaje/oak/projects/neuro-variants/variant_position/credible/roussos_2024/variant_figures/roussos_2024.childhood.Astrocyte/rs75138150_count_position.png",4,220,900)</f>
        <v/>
      </c>
      <c r="T1993">
        <f>IMAGE("https://mitra.stanford.edu/kundaje/oak/projects/neuro-variants/variant_position/credible/roussos_2024/variant_figures/roussos_2024.childhood.Astrocyte/rs75138150_profile_position.png",4,220,900)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0.063986851</v>
      </c>
      <c r="G1994" t="n">
        <v>0.1218234451337253</v>
      </c>
      <c r="H1994" t="n">
        <v>0.0194811361777496</v>
      </c>
      <c r="I1994" t="n">
        <v>0.1427693071438384</v>
      </c>
      <c r="J1994" t="n">
        <v>0.8542533947012891</v>
      </c>
      <c r="K1994" t="n">
        <v>0.0042888552885172</v>
      </c>
      <c r="L1994" t="b">
        <v>0</v>
      </c>
      <c r="M1994" t="b">
        <v>0</v>
      </c>
      <c r="N1994" t="inlineStr">
        <is>
          <t>alt</t>
        </is>
      </c>
      <c r="O1994" t="n">
        <v>-75</v>
      </c>
      <c r="P1994" t="n">
        <v>0.007385</v>
      </c>
      <c r="Q1994" t="n">
        <v>-100</v>
      </c>
      <c r="R1994" t="n">
        <v>0.01709</v>
      </c>
      <c r="S1994">
        <f>IMAGE("https://mitra.stanford.edu/kundaje/oak/projects/neuro-variants/variant_position/credible/roussos_2024/variant_figures/roussos_2024.childhood.Astrocyte/rs141958336_count_position.png",4,220,900)</f>
        <v/>
      </c>
      <c r="T1994">
        <f>IMAGE("https://mitra.stanford.edu/kundaje/oak/projects/neuro-variants/variant_position/credible/roussos_2024/variant_figures/roussos_2024.childhood.Astrocyte/rs141958336_profile_position.png",4,220,900)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0.164983475</v>
      </c>
      <c r="G1995" t="n">
        <v>0.0257868383930414</v>
      </c>
      <c r="H1995" t="n">
        <v>0.0370995380179542</v>
      </c>
      <c r="I1995" t="n">
        <v>0.0151905553511652</v>
      </c>
      <c r="J1995" t="n">
        <v>0.3238121407799226</v>
      </c>
      <c r="K1995" t="n">
        <v>0.1183813980103088</v>
      </c>
      <c r="L1995" t="b">
        <v>1</v>
      </c>
      <c r="M1995" t="b">
        <v>0</v>
      </c>
      <c r="N1995" t="inlineStr">
        <is>
          <t>alt</t>
        </is>
      </c>
      <c r="O1995" t="n">
        <v>-100</v>
      </c>
      <c r="P1995" t="n">
        <v>0.006607</v>
      </c>
      <c r="Q1995" t="n">
        <v>-100</v>
      </c>
      <c r="R1995" t="n">
        <v>0.0852</v>
      </c>
      <c r="S1995">
        <f>IMAGE("https://mitra.stanford.edu/kundaje/oak/projects/neuro-variants/variant_position/credible/roussos_2024/variant_figures/roussos_2024.childhood.Astrocyte/rs111785160_count_position.png",4,220,900)</f>
        <v/>
      </c>
      <c r="T1995">
        <f>IMAGE("https://mitra.stanford.edu/kundaje/oak/projects/neuro-variants/variant_position/credible/roussos_2024/variant_figures/roussos_2024.childhood.Astrocyte/rs111785160_profile_position.png",4,220,900)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-0.0479667054</v>
      </c>
      <c r="G1996" t="n">
        <v>0.228811065197948</v>
      </c>
      <c r="H1996" t="n">
        <v>0.0133880288889438</v>
      </c>
      <c r="I1996" t="n">
        <v>0.3977873267146265</v>
      </c>
      <c r="J1996" t="n">
        <v>0.3535946814438261</v>
      </c>
      <c r="K1996" t="n">
        <v>0.1061669837554407</v>
      </c>
      <c r="L1996" t="b">
        <v>0</v>
      </c>
      <c r="M1996" t="b">
        <v>0</v>
      </c>
      <c r="N1996" t="inlineStr">
        <is>
          <t>ref</t>
        </is>
      </c>
      <c r="O1996" t="n">
        <v>75</v>
      </c>
      <c r="P1996" t="n">
        <v>0.01224</v>
      </c>
      <c r="Q1996" t="n">
        <v>-35</v>
      </c>
      <c r="R1996" t="n">
        <v>0.07385</v>
      </c>
      <c r="S1996">
        <f>IMAGE("https://mitra.stanford.edu/kundaje/oak/projects/neuro-variants/variant_position/credible/roussos_2024/variant_figures/roussos_2024.childhood.Astrocyte/rs77188636_count_position.png",4,220,900)</f>
        <v/>
      </c>
      <c r="T1996">
        <f>IMAGE("https://mitra.stanford.edu/kundaje/oak/projects/neuro-variants/variant_position/credible/roussos_2024/variant_figures/roussos_2024.childhood.Astrocyte/rs77188636_profile_position.png",4,220,900)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-0.0391484298</v>
      </c>
      <c r="G1997" t="n">
        <v>0.2974542841690037</v>
      </c>
      <c r="H1997" t="n">
        <v>0.0082447155122247</v>
      </c>
      <c r="I1997" t="n">
        <v>0.8892422651280084</v>
      </c>
      <c r="J1997" t="n">
        <v>0.0157755337256607</v>
      </c>
      <c r="K1997" t="n">
        <v>0.6443560156781409</v>
      </c>
      <c r="L1997" t="b">
        <v>0</v>
      </c>
      <c r="M1997" t="b">
        <v>0</v>
      </c>
      <c r="N1997" t="inlineStr">
        <is>
          <t>ref</t>
        </is>
      </c>
      <c r="O1997" t="n">
        <v>-100</v>
      </c>
      <c r="P1997" t="n">
        <v>0.00415</v>
      </c>
      <c r="Q1997" t="n">
        <v>-25</v>
      </c>
      <c r="R1997" t="n">
        <v>0.0569</v>
      </c>
      <c r="S1997">
        <f>IMAGE("https://mitra.stanford.edu/kundaje/oak/projects/neuro-variants/variant_position/credible/roussos_2024/variant_figures/roussos_2024.childhood.Astrocyte/rs62119705_count_position.png",4,220,900)</f>
        <v/>
      </c>
      <c r="T1997">
        <f>IMAGE("https://mitra.stanford.edu/kundaje/oak/projects/neuro-variants/variant_position/credible/roussos_2024/variant_figures/roussos_2024.childhood.Astrocyte/rs62119705_profile_position.png",4,220,900)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-0.00220357464</v>
      </c>
      <c r="G1998" t="n">
        <v>0.7759970213214933</v>
      </c>
      <c r="H1998" t="n">
        <v>0.0113142587903825</v>
      </c>
      <c r="I1998" t="n">
        <v>0.5779489038733348</v>
      </c>
      <c r="J1998" t="n">
        <v>0.1201422759573477</v>
      </c>
      <c r="K1998" t="n">
        <v>0.2963770944678504</v>
      </c>
      <c r="L1998" t="b">
        <v>0</v>
      </c>
      <c r="M1998" t="b">
        <v>0</v>
      </c>
      <c r="N1998" t="inlineStr">
        <is>
          <t>ref</t>
        </is>
      </c>
      <c r="O1998" t="n">
        <v>95</v>
      </c>
      <c r="P1998" t="n">
        <v>0.1234</v>
      </c>
      <c r="Q1998" t="n">
        <v>-100</v>
      </c>
      <c r="R1998" t="n">
        <v>0.252</v>
      </c>
      <c r="S1998">
        <f>IMAGE("https://mitra.stanford.edu/kundaje/oak/projects/neuro-variants/variant_position/credible/roussos_2024/variant_figures/roussos_2024.childhood.Astrocyte/rs4807003_count_position.png",4,220,900)</f>
        <v/>
      </c>
      <c r="T1998">
        <f>IMAGE("https://mitra.stanford.edu/kundaje/oak/projects/neuro-variants/variant_position/credible/roussos_2024/variant_figures/roussos_2024.childhood.Astrocyte/rs4807003_profile_position.png",4,220,900)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0.1237950482</v>
      </c>
      <c r="G1999" t="n">
        <v>0.0519116468401569</v>
      </c>
      <c r="H1999" t="n">
        <v>0.0225813457530893</v>
      </c>
      <c r="I1999" t="n">
        <v>0.0866520120654824</v>
      </c>
      <c r="J1999" t="n">
        <v>0.0679169242746902</v>
      </c>
      <c r="K1999" t="n">
        <v>0.4365259672881053</v>
      </c>
      <c r="L1999" t="b">
        <v>0</v>
      </c>
      <c r="M1999" t="b">
        <v>0</v>
      </c>
      <c r="N1999" t="inlineStr">
        <is>
          <t>alt</t>
        </is>
      </c>
      <c r="O1999" t="n">
        <v>65</v>
      </c>
      <c r="P1999" t="n">
        <v>0.01463</v>
      </c>
      <c r="Q1999" t="n">
        <v>80</v>
      </c>
      <c r="R1999" t="n">
        <v>0.1604</v>
      </c>
      <c r="S1999">
        <f>IMAGE("https://mitra.stanford.edu/kundaje/oak/projects/neuro-variants/variant_position/credible/roussos_2024/variant_figures/roussos_2024.childhood.Astrocyte/rs35502362_count_position.png",4,220,900)</f>
        <v/>
      </c>
      <c r="T1999">
        <f>IMAGE("https://mitra.stanford.edu/kundaje/oak/projects/neuro-variants/variant_position/credible/roussos_2024/variant_figures/roussos_2024.childhood.Astrocyte/rs35502362_profile_position.png",4,220,900)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-0.139922396</v>
      </c>
      <c r="G2000" t="n">
        <v>0.0411797126830075</v>
      </c>
      <c r="H2000" t="n">
        <v>0.0201518937605106</v>
      </c>
      <c r="I2000" t="n">
        <v>0.1461388824536688</v>
      </c>
      <c r="J2000" t="n">
        <v>0.3347011365284361</v>
      </c>
      <c r="K2000" t="n">
        <v>0.1144857747208632</v>
      </c>
      <c r="L2000" t="b">
        <v>0</v>
      </c>
      <c r="M2000" t="b">
        <v>0</v>
      </c>
      <c r="N2000" t="inlineStr">
        <is>
          <t>ref</t>
        </is>
      </c>
      <c r="O2000" t="n">
        <v>-25</v>
      </c>
      <c r="P2000" t="n">
        <v>0.000683</v>
      </c>
      <c r="Q2000" t="n">
        <v>100</v>
      </c>
      <c r="R2000" t="n">
        <v>0.2439</v>
      </c>
      <c r="S2000">
        <f>IMAGE("https://mitra.stanford.edu/kundaje/oak/projects/neuro-variants/variant_position/credible/roussos_2024/variant_figures/roussos_2024.childhood.Astrocyte/rs34009962_count_position.png",4,220,900)</f>
        <v/>
      </c>
      <c r="T2000">
        <f>IMAGE("https://mitra.stanford.edu/kundaje/oak/projects/neuro-variants/variant_position/credible/roussos_2024/variant_figures/roussos_2024.childhood.Astrocyte/rs34009962_profile_position.png",4,220,900)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0.0699709362</v>
      </c>
      <c r="G2001" t="n">
        <v>0.1368740474362411</v>
      </c>
      <c r="H2001" t="n">
        <v>0.0198398315945198</v>
      </c>
      <c r="I2001" t="n">
        <v>0.1304067823746799</v>
      </c>
      <c r="J2001" t="n">
        <v>0.0053269522871775</v>
      </c>
      <c r="K2001" t="n">
        <v>0.7737741625101313</v>
      </c>
      <c r="L2001" t="b">
        <v>0</v>
      </c>
      <c r="M2001" t="b">
        <v>0</v>
      </c>
      <c r="N2001" t="inlineStr">
        <is>
          <t>alt</t>
        </is>
      </c>
      <c r="O2001" t="n">
        <v>-90</v>
      </c>
      <c r="P2001" t="n">
        <v>0.01897</v>
      </c>
      <c r="Q2001" t="n">
        <v>-100</v>
      </c>
      <c r="R2001" t="n">
        <v>0.09937</v>
      </c>
      <c r="S2001">
        <f>IMAGE("https://mitra.stanford.edu/kundaje/oak/projects/neuro-variants/variant_position/credible/roussos_2024/variant_figures/roussos_2024.childhood.Astrocyte/rs113848170_count_position.png",4,220,900)</f>
        <v/>
      </c>
      <c r="T2001">
        <f>IMAGE("https://mitra.stanford.edu/kundaje/oak/projects/neuro-variants/variant_position/credible/roussos_2024/variant_figures/roussos_2024.childhood.Astrocyte/rs113848170_profile_position.png",4,220,900)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0.0185124224</v>
      </c>
      <c r="G2002" t="n">
        <v>0.5413969430087826</v>
      </c>
      <c r="H2002" t="n">
        <v>0.0478577080395185</v>
      </c>
      <c r="I2002" t="n">
        <v>0.0048399214609181</v>
      </c>
      <c r="J2002" t="n">
        <v>0.0054643432331142</v>
      </c>
      <c r="K2002" t="n">
        <v>0.793143615940297</v>
      </c>
      <c r="L2002" t="b">
        <v>0</v>
      </c>
      <c r="M2002" t="b">
        <v>0</v>
      </c>
      <c r="N2002" t="inlineStr">
        <is>
          <t>alt</t>
        </is>
      </c>
      <c r="O2002" t="n">
        <v>80</v>
      </c>
      <c r="P2002" t="n">
        <v>0.01721</v>
      </c>
      <c r="Q2002" t="n">
        <v>100</v>
      </c>
      <c r="R2002" t="n">
        <v>0.0852</v>
      </c>
      <c r="S2002">
        <f>IMAGE("https://mitra.stanford.edu/kundaje/oak/projects/neuro-variants/variant_position/credible/roussos_2024/variant_figures/roussos_2024.childhood.Astrocyte/rs34538000_count_position.png",4,220,900)</f>
        <v/>
      </c>
      <c r="T2002">
        <f>IMAGE("https://mitra.stanford.edu/kundaje/oak/projects/neuro-variants/variant_position/credible/roussos_2024/variant_figures/roussos_2024.childhood.Astrocyte/rs34538000_profile_position.png",4,220,900)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0.1898316259999999</v>
      </c>
      <c r="G2003" t="n">
        <v>0.0193428345191945</v>
      </c>
      <c r="H2003" t="n">
        <v>0.0248382339700866</v>
      </c>
      <c r="I2003" t="n">
        <v>0.0616113064427769</v>
      </c>
      <c r="J2003" t="n">
        <v>0.0570737255081556</v>
      </c>
      <c r="K2003" t="n">
        <v>0.4233765279270486</v>
      </c>
      <c r="L2003" t="b">
        <v>1</v>
      </c>
      <c r="M2003" t="b">
        <v>0</v>
      </c>
      <c r="N2003" t="inlineStr">
        <is>
          <t>alt</t>
        </is>
      </c>
      <c r="O2003" t="n">
        <v>80</v>
      </c>
      <c r="P2003" t="n">
        <v>0.04486</v>
      </c>
      <c r="Q2003" t="n">
        <v>90</v>
      </c>
      <c r="R2003" t="n">
        <v>0.2175</v>
      </c>
      <c r="S2003">
        <f>IMAGE("https://mitra.stanford.edu/kundaje/oak/projects/neuro-variants/variant_position/credible/roussos_2024/variant_figures/roussos_2024.childhood.Astrocyte/rs2965180_count_position.png",4,220,900)</f>
        <v/>
      </c>
      <c r="T2003">
        <f>IMAGE("https://mitra.stanford.edu/kundaje/oak/projects/neuro-variants/variant_position/credible/roussos_2024/variant_figures/roussos_2024.childhood.Astrocyte/rs2965180_profile_position.png",4,220,900)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0.0509739862</v>
      </c>
      <c r="G2004" t="n">
        <v>0.2097573938544808</v>
      </c>
      <c r="H2004" t="n">
        <v>0.0110096843367471</v>
      </c>
      <c r="I2004" t="n">
        <v>0.6132104758109962</v>
      </c>
      <c r="J2004" t="n">
        <v>0.0604703350049231</v>
      </c>
      <c r="K2004" t="n">
        <v>0.4102743685904551</v>
      </c>
      <c r="L2004" t="b">
        <v>0</v>
      </c>
      <c r="M2004" t="b">
        <v>0</v>
      </c>
      <c r="N2004" t="inlineStr">
        <is>
          <t>alt</t>
        </is>
      </c>
      <c r="O2004" t="n">
        <v>100</v>
      </c>
      <c r="P2004" t="n">
        <v>0.009315</v>
      </c>
      <c r="Q2004" t="n">
        <v>100</v>
      </c>
      <c r="R2004" t="n">
        <v>0.0545</v>
      </c>
      <c r="S2004">
        <f>IMAGE("https://mitra.stanford.edu/kundaje/oak/projects/neuro-variants/variant_position/credible/roussos_2024/variant_figures/roussos_2024.childhood.Astrocyte/rs2916073_count_position.png",4,220,900)</f>
        <v/>
      </c>
      <c r="T2004">
        <f>IMAGE("https://mitra.stanford.edu/kundaje/oak/projects/neuro-variants/variant_position/credible/roussos_2024/variant_figures/roussos_2024.childhood.Astrocyte/rs2916073_profile_position.png",4,220,900)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0.1272543928</v>
      </c>
      <c r="G2005" t="n">
        <v>0.0496189919680454</v>
      </c>
      <c r="H2005" t="n">
        <v>0.0141853879415363</v>
      </c>
      <c r="I2005" t="n">
        <v>0.3460358599671417</v>
      </c>
      <c r="J2005" t="n">
        <v>0.1227916313648263</v>
      </c>
      <c r="K2005" t="n">
        <v>0.2868482385919547</v>
      </c>
      <c r="L2005" t="b">
        <v>0</v>
      </c>
      <c r="M2005" t="b">
        <v>0</v>
      </c>
      <c r="N2005" t="inlineStr">
        <is>
          <t>alt</t>
        </is>
      </c>
      <c r="O2005" t="n">
        <v>-100</v>
      </c>
      <c r="P2005" t="n">
        <v>0.01032</v>
      </c>
      <c r="Q2005" t="n">
        <v>-100</v>
      </c>
      <c r="R2005" t="n">
        <v>0.134</v>
      </c>
      <c r="S2005">
        <f>IMAGE("https://mitra.stanford.edu/kundaje/oak/projects/neuro-variants/variant_position/credible/roussos_2024/variant_figures/roussos_2024.childhood.Astrocyte/rs1469713_count_position.png",4,220,900)</f>
        <v/>
      </c>
      <c r="T2005">
        <f>IMAGE("https://mitra.stanford.edu/kundaje/oak/projects/neuro-variants/variant_position/credible/roussos_2024/variant_figures/roussos_2024.childhood.Astrocyte/rs1469713_profile_position.png",4,220,900)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0.0229808381</v>
      </c>
      <c r="G2006" t="n">
        <v>0.4725934313289278</v>
      </c>
      <c r="H2006" t="n">
        <v>0.0104322633967296</v>
      </c>
      <c r="I2006" t="n">
        <v>0.6653237164616598</v>
      </c>
      <c r="J2006" t="n">
        <v>0.0407364154702204</v>
      </c>
      <c r="K2006" t="n">
        <v>0.4871645451627587</v>
      </c>
      <c r="L2006" t="b">
        <v>0</v>
      </c>
      <c r="M2006" t="b">
        <v>0</v>
      </c>
      <c r="N2006" t="inlineStr">
        <is>
          <t>alt</t>
        </is>
      </c>
      <c r="O2006" t="n">
        <v>95</v>
      </c>
      <c r="P2006" t="n">
        <v>0.005577</v>
      </c>
      <c r="Q2006" t="n">
        <v>60</v>
      </c>
      <c r="R2006" t="n">
        <v>0.12256</v>
      </c>
      <c r="S2006">
        <f>IMAGE("https://mitra.stanford.edu/kundaje/oak/projects/neuro-variants/variant_position/credible/roussos_2024/variant_figures/roussos_2024.childhood.Astrocyte/rs10405625_count_position.png",4,220,900)</f>
        <v/>
      </c>
      <c r="T2006">
        <f>IMAGE("https://mitra.stanford.edu/kundaje/oak/projects/neuro-variants/variant_position/credible/roussos_2024/variant_figures/roussos_2024.childhood.Astrocyte/rs10405625_profile_position.png",4,220,900)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0.084292432</v>
      </c>
      <c r="G2007" t="n">
        <v>0.0992278169679229</v>
      </c>
      <c r="H2007" t="n">
        <v>0.0175384799725701</v>
      </c>
      <c r="I2007" t="n">
        <v>0.1977697013057163</v>
      </c>
      <c r="J2007" t="n">
        <v>0.2773892667139901</v>
      </c>
      <c r="K2007" t="n">
        <v>0.1472926587687507</v>
      </c>
      <c r="L2007" t="b">
        <v>0</v>
      </c>
      <c r="M2007" t="b">
        <v>0</v>
      </c>
      <c r="N2007" t="inlineStr">
        <is>
          <t>alt</t>
        </is>
      </c>
      <c r="O2007" t="n">
        <v>-100</v>
      </c>
      <c r="P2007" t="n">
        <v>0.010574</v>
      </c>
      <c r="Q2007" t="n">
        <v>65</v>
      </c>
      <c r="R2007" t="n">
        <v>0.1865</v>
      </c>
      <c r="S2007">
        <f>IMAGE("https://mitra.stanford.edu/kundaje/oak/projects/neuro-variants/variant_position/credible/roussos_2024/variant_figures/roussos_2024.childhood.Astrocyte/rs3752151_count_position.png",4,220,900)</f>
        <v/>
      </c>
      <c r="T2007">
        <f>IMAGE("https://mitra.stanford.edu/kundaje/oak/projects/neuro-variants/variant_position/credible/roussos_2024/variant_figures/roussos_2024.childhood.Astrocyte/rs3752151_profile_position.png",4,220,900)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0.1645719828</v>
      </c>
      <c r="G2008" t="n">
        <v>0.027722288279413</v>
      </c>
      <c r="H2008" t="n">
        <v>0.0189294673967905</v>
      </c>
      <c r="I2008" t="n">
        <v>0.1547666009235271</v>
      </c>
      <c r="J2008" t="n">
        <v>0.097610924106768</v>
      </c>
      <c r="K2008" t="n">
        <v>0.3501864306763132</v>
      </c>
      <c r="L2008" t="b">
        <v>0</v>
      </c>
      <c r="M2008" t="b">
        <v>0</v>
      </c>
      <c r="N2008" t="inlineStr">
        <is>
          <t>alt</t>
        </is>
      </c>
      <c r="O2008" t="n">
        <v>40</v>
      </c>
      <c r="P2008" t="n">
        <v>0.006336</v>
      </c>
      <c r="Q2008" t="n">
        <v>-100</v>
      </c>
      <c r="R2008" t="n">
        <v>0.1765</v>
      </c>
      <c r="S2008">
        <f>IMAGE("https://mitra.stanford.edu/kundaje/oak/projects/neuro-variants/variant_position/credible/roussos_2024/variant_figures/roussos_2024.childhood.Astrocyte/rs10282_count_position.png",4,220,900)</f>
        <v/>
      </c>
      <c r="T2008">
        <f>IMAGE("https://mitra.stanford.edu/kundaje/oak/projects/neuro-variants/variant_position/credible/roussos_2024/variant_figures/roussos_2024.childhood.Astrocyte/rs10282_profile_position.png",4,220,900)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-0.0187991091</v>
      </c>
      <c r="G2009" t="n">
        <v>0.5528938275233918</v>
      </c>
      <c r="H2009" t="n">
        <v>0.0342443369526222</v>
      </c>
      <c r="I2009" t="n">
        <v>0.0184809031173647</v>
      </c>
      <c r="J2009" t="n">
        <v>0.0230664132566996</v>
      </c>
      <c r="K2009" t="n">
        <v>0.5768186716723264</v>
      </c>
      <c r="L2009" t="b">
        <v>1</v>
      </c>
      <c r="M2009" t="b">
        <v>0</v>
      </c>
      <c r="N2009" t="inlineStr">
        <is>
          <t>ref</t>
        </is>
      </c>
      <c r="O2009" t="n">
        <v>0</v>
      </c>
      <c r="P2009" t="n">
        <v>0</v>
      </c>
      <c r="Q2009" t="n">
        <v>60</v>
      </c>
      <c r="R2009" t="n">
        <v>0.1888</v>
      </c>
      <c r="S2009">
        <f>IMAGE("https://mitra.stanford.edu/kundaje/oak/projects/neuro-variants/variant_position/credible/roussos_2024/variant_figures/roussos_2024.childhood.Astrocyte/rs7253807_count_position.png",4,220,900)</f>
        <v/>
      </c>
      <c r="T2009">
        <f>IMAGE("https://mitra.stanford.edu/kundaje/oak/projects/neuro-variants/variant_position/credible/roussos_2024/variant_figures/roussos_2024.childhood.Astrocyte/rs7253807_profile_position.png",4,220,900)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0.0500544498</v>
      </c>
      <c r="G2010" t="n">
        <v>0.2204805605817726</v>
      </c>
      <c r="H2010" t="n">
        <v>0.0143994505843233</v>
      </c>
      <c r="I2010" t="n">
        <v>0.3318639994815721</v>
      </c>
      <c r="J2010" t="n">
        <v>0.6836008640363934</v>
      </c>
      <c r="K2010" t="n">
        <v>0.0201844259149238</v>
      </c>
      <c r="L2010" t="b">
        <v>0</v>
      </c>
      <c r="M2010" t="b">
        <v>0</v>
      </c>
      <c r="N2010" t="inlineStr">
        <is>
          <t>alt</t>
        </is>
      </c>
      <c r="O2010" t="n">
        <v>-40</v>
      </c>
      <c r="P2010" t="n">
        <v>0.001648</v>
      </c>
      <c r="Q2010" t="n">
        <v>-70</v>
      </c>
      <c r="R2010" t="n">
        <v>0.0498</v>
      </c>
      <c r="S2010">
        <f>IMAGE("https://mitra.stanford.edu/kundaje/oak/projects/neuro-variants/variant_position/credible/roussos_2024/variant_figures/roussos_2024.childhood.Astrocyte/rs7245983_count_position.png",4,220,900)</f>
        <v/>
      </c>
      <c r="T2010">
        <f>IMAGE("https://mitra.stanford.edu/kundaje/oak/projects/neuro-variants/variant_position/credible/roussos_2024/variant_figures/roussos_2024.childhood.Astrocyte/rs7245983_profile_position.png",4,220,900)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-0.372058106</v>
      </c>
      <c r="G2011" t="n">
        <v>0.0033314413899054</v>
      </c>
      <c r="H2011" t="n">
        <v>0.0466790908498955</v>
      </c>
      <c r="I2011" t="n">
        <v>0.0054817802912912</v>
      </c>
      <c r="J2011" t="n">
        <v>0.1711166067489485</v>
      </c>
      <c r="K2011" t="n">
        <v>0.2424433483486384</v>
      </c>
      <c r="L2011" t="b">
        <v>1</v>
      </c>
      <c r="M2011" t="b">
        <v>1</v>
      </c>
      <c r="N2011" t="inlineStr">
        <is>
          <t>ref</t>
        </is>
      </c>
      <c r="O2011" t="n">
        <v>-75</v>
      </c>
      <c r="P2011" t="n">
        <v>0.01428</v>
      </c>
      <c r="Q2011" t="n">
        <v>-80</v>
      </c>
      <c r="R2011" t="n">
        <v>0.1123</v>
      </c>
      <c r="S2011">
        <f>IMAGE("https://mitra.stanford.edu/kundaje/oak/projects/neuro-variants/variant_position/credible/roussos_2024/variant_figures/roussos_2024.childhood.Astrocyte/rs2053079_count_position.png",4,220,900)</f>
        <v/>
      </c>
      <c r="T2011">
        <f>IMAGE("https://mitra.stanford.edu/kundaje/oak/projects/neuro-variants/variant_position/credible/roussos_2024/variant_figures/roussos_2024.childhood.Astrocyte/rs2053079_profile_position.png",4,220,900)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0.0843276912</v>
      </c>
      <c r="G2012" t="n">
        <v>0.09738739854804709</v>
      </c>
      <c r="H2012" t="n">
        <v>0.0132408314903015</v>
      </c>
      <c r="I2012" t="n">
        <v>0.4130060955994545</v>
      </c>
      <c r="J2012" t="n">
        <v>0.063563157854564</v>
      </c>
      <c r="K2012" t="n">
        <v>0.4075776615735176</v>
      </c>
      <c r="L2012" t="b">
        <v>0</v>
      </c>
      <c r="M2012" t="b">
        <v>0</v>
      </c>
      <c r="N2012" t="inlineStr">
        <is>
          <t>alt</t>
        </is>
      </c>
      <c r="O2012" t="n">
        <v>100</v>
      </c>
      <c r="P2012" t="n">
        <v>0.00894</v>
      </c>
      <c r="Q2012" t="n">
        <v>100</v>
      </c>
      <c r="R2012" t="n">
        <v>0.1824</v>
      </c>
      <c r="S2012">
        <f>IMAGE("https://mitra.stanford.edu/kundaje/oak/projects/neuro-variants/variant_position/credible/roussos_2024/variant_figures/roussos_2024.childhood.Astrocyte/rs2075419_count_position.png",4,220,900)</f>
        <v/>
      </c>
      <c r="T2012">
        <f>IMAGE("https://mitra.stanford.edu/kundaje/oak/projects/neuro-variants/variant_position/credible/roussos_2024/variant_figures/roussos_2024.childhood.Astrocyte/rs2075419_profile_position.png",4,220,900)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0.0184200068</v>
      </c>
      <c r="G2013" t="n">
        <v>0.5500624566191701</v>
      </c>
      <c r="H2013" t="n">
        <v>0.0334763158159002</v>
      </c>
      <c r="I2013" t="n">
        <v>0.0199569767105458</v>
      </c>
      <c r="J2013" t="n">
        <v>0.0379580652301679</v>
      </c>
      <c r="K2013" t="n">
        <v>0.4915449122436995</v>
      </c>
      <c r="L2013" t="b">
        <v>1</v>
      </c>
      <c r="M2013" t="b">
        <v>0</v>
      </c>
      <c r="N2013" t="inlineStr">
        <is>
          <t>alt</t>
        </is>
      </c>
      <c r="O2013" t="n">
        <v>85</v>
      </c>
      <c r="P2013" t="n">
        <v>0.01764</v>
      </c>
      <c r="Q2013" t="n">
        <v>-15</v>
      </c>
      <c r="R2013" t="n">
        <v>0.02547</v>
      </c>
      <c r="S2013">
        <f>IMAGE("https://mitra.stanford.edu/kundaje/oak/projects/neuro-variants/variant_position/credible/roussos_2024/variant_figures/roussos_2024.childhood.Astrocyte/rs10411290_count_position.png",4,220,900)</f>
        <v/>
      </c>
      <c r="T2013">
        <f>IMAGE("https://mitra.stanford.edu/kundaje/oak/projects/neuro-variants/variant_position/credible/roussos_2024/variant_figures/roussos_2024.childhood.Astrocyte/rs10411290_profile_position.png",4,220,900)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0.01055637704</v>
      </c>
      <c r="G2014" t="n">
        <v>0.713571987179254</v>
      </c>
      <c r="H2014" t="n">
        <v>0.0235281430493235</v>
      </c>
      <c r="I2014" t="n">
        <v>0.0729779236948408</v>
      </c>
      <c r="J2014" t="n">
        <v>0.1186569271751657</v>
      </c>
      <c r="K2014" t="n">
        <v>0.2911026077030598</v>
      </c>
      <c r="L2014" t="b">
        <v>0</v>
      </c>
      <c r="M2014" t="b">
        <v>0</v>
      </c>
      <c r="N2014" t="inlineStr">
        <is>
          <t>alt</t>
        </is>
      </c>
      <c r="O2014" t="n">
        <v>95</v>
      </c>
      <c r="P2014" t="n">
        <v>0.013306</v>
      </c>
      <c r="Q2014" t="n">
        <v>-5</v>
      </c>
      <c r="R2014" t="n">
        <v>0.005188</v>
      </c>
      <c r="S2014">
        <f>IMAGE("https://mitra.stanford.edu/kundaje/oak/projects/neuro-variants/variant_position/credible/roussos_2024/variant_figures/roussos_2024.childhood.Astrocyte/rs3786795_count_position.png",4,220,900)</f>
        <v/>
      </c>
      <c r="T2014">
        <f>IMAGE("https://mitra.stanford.edu/kundaje/oak/projects/neuro-variants/variant_position/credible/roussos_2024/variant_figures/roussos_2024.childhood.Astrocyte/rs3786795_profile_position.png",4,220,900)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-0.2647483579999999</v>
      </c>
      <c r="G2015" t="n">
        <v>0.008246275364215501</v>
      </c>
      <c r="H2015" t="n">
        <v>0.0324409497961886</v>
      </c>
      <c r="I2015" t="n">
        <v>0.0223757715647084</v>
      </c>
      <c r="J2015" t="n">
        <v>0.2267034569088563</v>
      </c>
      <c r="K2015" t="n">
        <v>0.1846836177460304</v>
      </c>
      <c r="L2015" t="b">
        <v>1</v>
      </c>
      <c r="M2015" t="b">
        <v>1</v>
      </c>
      <c r="N2015" t="inlineStr">
        <is>
          <t>ref</t>
        </is>
      </c>
      <c r="O2015" t="n">
        <v>80</v>
      </c>
      <c r="P2015" t="n">
        <v>0.000931</v>
      </c>
      <c r="Q2015" t="n">
        <v>-95</v>
      </c>
      <c r="R2015" t="n">
        <v>0.0737</v>
      </c>
      <c r="S2015">
        <f>IMAGE("https://mitra.stanford.edu/kundaje/oak/projects/neuro-variants/variant_position/credible/roussos_2024/variant_figures/roussos_2024.childhood.Astrocyte/rs4303654_count_position.png",4,220,900)</f>
        <v/>
      </c>
      <c r="T2015">
        <f>IMAGE("https://mitra.stanford.edu/kundaje/oak/projects/neuro-variants/variant_position/credible/roussos_2024/variant_figures/roussos_2024.childhood.Astrocyte/rs4303654_profile_position.png",4,220,900)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-0.00591719538</v>
      </c>
      <c r="G2016" t="n">
        <v>0.6149361815907336</v>
      </c>
      <c r="H2016" t="n">
        <v>0.01136327109755</v>
      </c>
      <c r="I2016" t="n">
        <v>0.5749667382665723</v>
      </c>
      <c r="J2016" t="n">
        <v>0.7214490165098121</v>
      </c>
      <c r="K2016" t="n">
        <v>0.0158241441070888</v>
      </c>
      <c r="L2016" t="b">
        <v>0</v>
      </c>
      <c r="M2016" t="b">
        <v>0</v>
      </c>
      <c r="N2016" t="inlineStr">
        <is>
          <t>ref</t>
        </is>
      </c>
      <c r="O2016" t="n">
        <v>-70</v>
      </c>
      <c r="P2016" t="n">
        <v>0.002365</v>
      </c>
      <c r="Q2016" t="n">
        <v>100</v>
      </c>
      <c r="R2016" t="n">
        <v>0.2152</v>
      </c>
      <c r="S2016">
        <f>IMAGE("https://mitra.stanford.edu/kundaje/oak/projects/neuro-variants/variant_position/credible/roussos_2024/variant_figures/roussos_2024.childhood.Astrocyte/rs142436687_count_position.png",4,220,900)</f>
        <v/>
      </c>
      <c r="T2016">
        <f>IMAGE("https://mitra.stanford.edu/kundaje/oak/projects/neuro-variants/variant_position/credible/roussos_2024/variant_figures/roussos_2024.childhood.Astrocyte/rs142436687_profile_position.png",4,220,900)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-0.219813126</v>
      </c>
      <c r="G2017" t="n">
        <v>0.0131242512839858</v>
      </c>
      <c r="H2017" t="n">
        <v>0.0369822316990171</v>
      </c>
      <c r="I2017" t="n">
        <v>0.0140515948099404</v>
      </c>
      <c r="J2017" t="n">
        <v>0.1438307648859273</v>
      </c>
      <c r="K2017" t="n">
        <v>0.2617066885238158</v>
      </c>
      <c r="L2017" t="b">
        <v>1</v>
      </c>
      <c r="M2017" t="b">
        <v>0</v>
      </c>
      <c r="N2017" t="inlineStr">
        <is>
          <t>ref</t>
        </is>
      </c>
      <c r="O2017" t="n">
        <v>-50</v>
      </c>
      <c r="P2017" t="n">
        <v>0.002945</v>
      </c>
      <c r="Q2017" t="n">
        <v>45</v>
      </c>
      <c r="R2017" t="n">
        <v>0.0584</v>
      </c>
      <c r="S2017">
        <f>IMAGE("https://mitra.stanford.edu/kundaje/oak/projects/neuro-variants/variant_position/credible/roussos_2024/variant_figures/roussos_2024.childhood.Astrocyte/rs79051716_count_position.png",4,220,900)</f>
        <v/>
      </c>
      <c r="T2017">
        <f>IMAGE("https://mitra.stanford.edu/kundaje/oak/projects/neuro-variants/variant_position/credible/roussos_2024/variant_figures/roussos_2024.childhood.Astrocyte/rs79051716_profile_position.png",4,220,900)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-0.1149147977999999</v>
      </c>
      <c r="G2018" t="n">
        <v>0.0564773884514961</v>
      </c>
      <c r="H2018" t="n">
        <v>0.0266127612114168</v>
      </c>
      <c r="I2018" t="n">
        <v>0.0520450886153437</v>
      </c>
      <c r="J2018" t="n">
        <v>0.4049933976017647</v>
      </c>
      <c r="K2018" t="n">
        <v>0.0853579737222776</v>
      </c>
      <c r="L2018" t="b">
        <v>0</v>
      </c>
      <c r="M2018" t="b">
        <v>0</v>
      </c>
      <c r="N2018" t="inlineStr">
        <is>
          <t>ref</t>
        </is>
      </c>
      <c r="O2018" t="n">
        <v>-35</v>
      </c>
      <c r="P2018" t="n">
        <v>0.006454</v>
      </c>
      <c r="Q2018" t="n">
        <v>15</v>
      </c>
      <c r="R2018" t="n">
        <v>0.0586</v>
      </c>
      <c r="S2018">
        <f>IMAGE("https://mitra.stanford.edu/kundaje/oak/projects/neuro-variants/variant_position/credible/roussos_2024/variant_figures/roussos_2024.childhood.Astrocyte/rs116925323_count_position.png",4,220,900)</f>
        <v/>
      </c>
      <c r="T2018">
        <f>IMAGE("https://mitra.stanford.edu/kundaje/oak/projects/neuro-variants/variant_position/credible/roussos_2024/variant_figures/roussos_2024.childhood.Astrocyte/rs116925323_profile_position.png",4,220,900)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-0.0172397248</v>
      </c>
      <c r="G2019" t="n">
        <v>0.5857547962103749</v>
      </c>
      <c r="H2019" t="n">
        <v>0.0502409392456804</v>
      </c>
      <c r="I2019" t="n">
        <v>0.0041460005610628</v>
      </c>
      <c r="J2019" t="n">
        <v>0.2419843832291452</v>
      </c>
      <c r="K2019" t="n">
        <v>0.171167235672866</v>
      </c>
      <c r="L2019" t="b">
        <v>1</v>
      </c>
      <c r="M2019" t="b">
        <v>1</v>
      </c>
      <c r="N2019" t="inlineStr">
        <is>
          <t>ref</t>
        </is>
      </c>
      <c r="O2019" t="n">
        <v>-60</v>
      </c>
      <c r="P2019" t="n">
        <v>0.006348</v>
      </c>
      <c r="Q2019" t="n">
        <v>-60</v>
      </c>
      <c r="R2019" t="n">
        <v>0.1768</v>
      </c>
      <c r="S2019">
        <f>IMAGE("https://mitra.stanford.edu/kundaje/oak/projects/neuro-variants/variant_position/credible/roussos_2024/variant_figures/roussos_2024.childhood.Astrocyte/rs1345756_count_position.png",4,220,900)</f>
        <v/>
      </c>
      <c r="T2019">
        <f>IMAGE("https://mitra.stanford.edu/kundaje/oak/projects/neuro-variants/variant_position/credible/roussos_2024/variant_figures/roussos_2024.childhood.Astrocyte/rs1345756_profile_position.png",4,220,900)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-0.0860370506</v>
      </c>
      <c r="G2020" t="n">
        <v>0.1006296274142986</v>
      </c>
      <c r="H2020" t="n">
        <v>0.0099338337283732</v>
      </c>
      <c r="I2020" t="n">
        <v>0.697621561017603</v>
      </c>
      <c r="J2020" t="n">
        <v>0.0795936281132406</v>
      </c>
      <c r="K2020" t="n">
        <v>0.3659778639836893</v>
      </c>
      <c r="L2020" t="b">
        <v>0</v>
      </c>
      <c r="M2020" t="b">
        <v>0</v>
      </c>
      <c r="N2020" t="inlineStr">
        <is>
          <t>ref</t>
        </is>
      </c>
      <c r="O2020" t="n">
        <v>100</v>
      </c>
      <c r="P2020" t="n">
        <v>0.01764</v>
      </c>
      <c r="Q2020" t="n">
        <v>-100</v>
      </c>
      <c r="R2020" t="n">
        <v>0.04907</v>
      </c>
      <c r="S2020">
        <f>IMAGE("https://mitra.stanford.edu/kundaje/oak/projects/neuro-variants/variant_position/credible/roussos_2024/variant_figures/roussos_2024.childhood.Astrocyte/rs77157349_count_position.png",4,220,900)</f>
        <v/>
      </c>
      <c r="T2020">
        <f>IMAGE("https://mitra.stanford.edu/kundaje/oak/projects/neuro-variants/variant_position/credible/roussos_2024/variant_figures/roussos_2024.childhood.Astrocyte/rs77157349_profile_position.png",4,220,900)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0.0311001947999999</v>
      </c>
      <c r="G2021" t="n">
        <v>0.3778507348496218</v>
      </c>
      <c r="H2021" t="n">
        <v>0.0416296833284954</v>
      </c>
      <c r="I2021" t="n">
        <v>0.008209641377346101</v>
      </c>
      <c r="J2021" t="n">
        <v>0.0242311831650293</v>
      </c>
      <c r="K2021" t="n">
        <v>0.5682656415345774</v>
      </c>
      <c r="L2021" t="b">
        <v>1</v>
      </c>
      <c r="M2021" t="b">
        <v>0</v>
      </c>
      <c r="N2021" t="inlineStr">
        <is>
          <t>alt</t>
        </is>
      </c>
      <c r="O2021" t="n">
        <v>5</v>
      </c>
      <c r="P2021" t="n">
        <v>0.002777</v>
      </c>
      <c r="Q2021" t="n">
        <v>100</v>
      </c>
      <c r="R2021" t="n">
        <v>0.104</v>
      </c>
      <c r="S2021">
        <f>IMAGE("https://mitra.stanford.edu/kundaje/oak/projects/neuro-variants/variant_position/credible/roussos_2024/variant_figures/roussos_2024.childhood.Astrocyte/rs190662727_count_position.png",4,220,900)</f>
        <v/>
      </c>
      <c r="T2021">
        <f>IMAGE("https://mitra.stanford.edu/kundaje/oak/projects/neuro-variants/variant_position/credible/roussos_2024/variant_figures/roussos_2024.childhood.Astrocyte/rs190662727_profile_position.png",4,220,900)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-0.0894728411999999</v>
      </c>
      <c r="G2022" t="n">
        <v>0.0913425876252042</v>
      </c>
      <c r="H2022" t="n">
        <v>0.0131302708338727</v>
      </c>
      <c r="I2022" t="n">
        <v>0.4272077093747172</v>
      </c>
      <c r="J2022" t="n">
        <v>0.1543503316464778</v>
      </c>
      <c r="K2022" t="n">
        <v>0.2470452088026833</v>
      </c>
      <c r="L2022" t="b">
        <v>0</v>
      </c>
      <c r="M2022" t="b">
        <v>0</v>
      </c>
      <c r="N2022" t="inlineStr">
        <is>
          <t>ref</t>
        </is>
      </c>
      <c r="O2022" t="n">
        <v>-25</v>
      </c>
      <c r="P2022" t="n">
        <v>0.001724</v>
      </c>
      <c r="Q2022" t="n">
        <v>30</v>
      </c>
      <c r="R2022" t="n">
        <v>0.02222</v>
      </c>
      <c r="S2022">
        <f>IMAGE("https://mitra.stanford.edu/kundaje/oak/projects/neuro-variants/variant_position/credible/roussos_2024/variant_figures/roussos_2024.childhood.Astrocyte/rs35208092_count_position.png",4,220,900)</f>
        <v/>
      </c>
      <c r="T2022">
        <f>IMAGE("https://mitra.stanford.edu/kundaje/oak/projects/neuro-variants/variant_position/credible/roussos_2024/variant_figures/roussos_2024.childhood.Astrocyte/rs35208092_profile_position.png",4,220,900)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-0.00402873604</v>
      </c>
      <c r="G2023" t="n">
        <v>0.8185842508465326</v>
      </c>
      <c r="H2023" t="n">
        <v>0.0271931708942368</v>
      </c>
      <c r="I2023" t="n">
        <v>0.0430152101315235</v>
      </c>
      <c r="J2023" t="n">
        <v>0.1170746414477952</v>
      </c>
      <c r="K2023" t="n">
        <v>0.2991257521957058</v>
      </c>
      <c r="L2023" t="b">
        <v>0</v>
      </c>
      <c r="M2023" t="b">
        <v>0</v>
      </c>
      <c r="N2023" t="inlineStr">
        <is>
          <t>ref</t>
        </is>
      </c>
      <c r="O2023" t="n">
        <v>-15</v>
      </c>
      <c r="P2023" t="n">
        <v>0.0006713999999999999</v>
      </c>
      <c r="Q2023" t="n">
        <v>40</v>
      </c>
      <c r="R2023" t="n">
        <v>0.0985</v>
      </c>
      <c r="S2023">
        <f>IMAGE("https://mitra.stanford.edu/kundaje/oak/projects/neuro-variants/variant_position/credible/roussos_2024/variant_figures/roussos_2024.childhood.Astrocyte/rs7254613_count_position.png",4,220,900)</f>
        <v/>
      </c>
      <c r="T2023">
        <f>IMAGE("https://mitra.stanford.edu/kundaje/oak/projects/neuro-variants/variant_position/credible/roussos_2024/variant_figures/roussos_2024.childhood.Astrocyte/rs7254613_profile_position.png",4,220,900)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-0.00556762842</v>
      </c>
      <c r="G2024" t="n">
        <v>0.6833745398938887</v>
      </c>
      <c r="H2024" t="n">
        <v>0.009903758097385</v>
      </c>
      <c r="I2024" t="n">
        <v>0.7293063733153263</v>
      </c>
      <c r="J2024" t="n">
        <v>0.2745842015677833</v>
      </c>
      <c r="K2024" t="n">
        <v>0.1482418056782884</v>
      </c>
      <c r="L2024" t="b">
        <v>0</v>
      </c>
      <c r="M2024" t="b">
        <v>0</v>
      </c>
      <c r="N2024" t="inlineStr">
        <is>
          <t>ref</t>
        </is>
      </c>
      <c r="O2024" t="n">
        <v>10</v>
      </c>
      <c r="P2024" t="n">
        <v>0.001152</v>
      </c>
      <c r="Q2024" t="n">
        <v>90</v>
      </c>
      <c r="R2024" t="n">
        <v>0.1186</v>
      </c>
      <c r="S2024">
        <f>IMAGE("https://mitra.stanford.edu/kundaje/oak/projects/neuro-variants/variant_position/credible/roussos_2024/variant_figures/roussos_2024.childhood.Astrocyte/rs148767361_count_position.png",4,220,900)</f>
        <v/>
      </c>
      <c r="T2024">
        <f>IMAGE("https://mitra.stanford.edu/kundaje/oak/projects/neuro-variants/variant_position/credible/roussos_2024/variant_figures/roussos_2024.childhood.Astrocyte/rs148767361_profile_position.png",4,220,900)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0.02231472584</v>
      </c>
      <c r="G2025" t="n">
        <v>0.4683433626363433</v>
      </c>
      <c r="H2025" t="n">
        <v>0.0147046047285127</v>
      </c>
      <c r="I2025" t="n">
        <v>0.3162983766679872</v>
      </c>
      <c r="J2025" t="n">
        <v>0.6734667552074984</v>
      </c>
      <c r="K2025" t="n">
        <v>0.0221886262360986</v>
      </c>
      <c r="L2025" t="b">
        <v>0</v>
      </c>
      <c r="M2025" t="b">
        <v>0</v>
      </c>
      <c r="N2025" t="inlineStr">
        <is>
          <t>alt</t>
        </is>
      </c>
      <c r="O2025" t="n">
        <v>-95</v>
      </c>
      <c r="P2025" t="n">
        <v>0.003967</v>
      </c>
      <c r="Q2025" t="n">
        <v>-95</v>
      </c>
      <c r="R2025" t="n">
        <v>0.1008</v>
      </c>
      <c r="S2025">
        <f>IMAGE("https://mitra.stanford.edu/kundaje/oak/projects/neuro-variants/variant_position/credible/roussos_2024/variant_figures/roussos_2024.childhood.Astrocyte/rs6510386_count_position.png",4,220,900)</f>
        <v/>
      </c>
      <c r="T2025">
        <f>IMAGE("https://mitra.stanford.edu/kundaje/oak/projects/neuro-variants/variant_position/credible/roussos_2024/variant_figures/roussos_2024.childhood.Astrocyte/rs6510386_profile_position.png",4,220,900)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-0.023750725</v>
      </c>
      <c r="G2026" t="n">
        <v>0.4792652151928137</v>
      </c>
      <c r="H2026" t="n">
        <v>0.0152724211382234</v>
      </c>
      <c r="I2026" t="n">
        <v>0.2808773522438937</v>
      </c>
      <c r="J2026" t="n">
        <v>0.2505827665956813</v>
      </c>
      <c r="K2026" t="n">
        <v>0.1611394697281129</v>
      </c>
      <c r="L2026" t="b">
        <v>0</v>
      </c>
      <c r="M2026" t="b">
        <v>0</v>
      </c>
      <c r="N2026" t="inlineStr">
        <is>
          <t>ref</t>
        </is>
      </c>
      <c r="O2026" t="n">
        <v>-30</v>
      </c>
      <c r="P2026" t="n">
        <v>0.003994</v>
      </c>
      <c r="Q2026" t="n">
        <v>-85</v>
      </c>
      <c r="R2026" t="n">
        <v>0.1967</v>
      </c>
      <c r="S2026">
        <f>IMAGE("https://mitra.stanford.edu/kundaje/oak/projects/neuro-variants/variant_position/credible/roussos_2024/variant_figures/roussos_2024.childhood.Astrocyte/rs76144939_count_position.png",4,220,900)</f>
        <v/>
      </c>
      <c r="T2026">
        <f>IMAGE("https://mitra.stanford.edu/kundaje/oak/projects/neuro-variants/variant_position/credible/roussos_2024/variant_figures/roussos_2024.childhood.Astrocyte/rs76144939_profile_position.png",4,220,900)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-0.27112245</v>
      </c>
      <c r="G2027" t="n">
        <v>0.0095450770823563</v>
      </c>
      <c r="H2027" t="n">
        <v>0.0228112476659047</v>
      </c>
      <c r="I2027" t="n">
        <v>0.0883384318747744</v>
      </c>
      <c r="J2027" t="n">
        <v>0.4294283773366001</v>
      </c>
      <c r="K2027" t="n">
        <v>0.0760622603669191</v>
      </c>
      <c r="L2027" t="b">
        <v>1</v>
      </c>
      <c r="M2027" t="b">
        <v>1</v>
      </c>
      <c r="N2027" t="inlineStr">
        <is>
          <t>ref</t>
        </is>
      </c>
      <c r="O2027" t="n">
        <v>-40</v>
      </c>
      <c r="P2027" t="n">
        <v>0.063</v>
      </c>
      <c r="Q2027" t="n">
        <v>-65</v>
      </c>
      <c r="R2027" t="n">
        <v>0.07275</v>
      </c>
      <c r="S2027">
        <f>IMAGE("https://mitra.stanford.edu/kundaje/oak/projects/neuro-variants/variant_position/credible/roussos_2024/variant_figures/roussos_2024.childhood.Astrocyte/rs10423840_count_position.png",4,220,900)</f>
        <v/>
      </c>
      <c r="T2027">
        <f>IMAGE("https://mitra.stanford.edu/kundaje/oak/projects/neuro-variants/variant_position/credible/roussos_2024/variant_figures/roussos_2024.childhood.Astrocyte/rs10423840_profile_position.png",4,220,900)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0.01139751306</v>
      </c>
      <c r="G2028" t="n">
        <v>0.6905758734752397</v>
      </c>
      <c r="H2028" t="n">
        <v>0.0327454570510959</v>
      </c>
      <c r="I2028" t="n">
        <v>0.020866491249677</v>
      </c>
      <c r="J2028" t="n">
        <v>0.001643348370009</v>
      </c>
      <c r="K2028" t="n">
        <v>0.8763843955879017</v>
      </c>
      <c r="L2028" t="b">
        <v>0</v>
      </c>
      <c r="M2028" t="b">
        <v>0</v>
      </c>
      <c r="N2028" t="inlineStr">
        <is>
          <t>alt</t>
        </is>
      </c>
      <c r="O2028" t="n">
        <v>85</v>
      </c>
      <c r="P2028" t="n">
        <v>0.03662</v>
      </c>
      <c r="Q2028" t="n">
        <v>-5</v>
      </c>
      <c r="R2028" t="n">
        <v>0.007965</v>
      </c>
      <c r="S2028">
        <f>IMAGE("https://mitra.stanford.edu/kundaje/oak/projects/neuro-variants/variant_position/credible/roussos_2024/variant_figures/roussos_2024.childhood.Astrocyte/rs10404501_count_position.png",4,220,900)</f>
        <v/>
      </c>
      <c r="T2028">
        <f>IMAGE("https://mitra.stanford.edu/kundaje/oak/projects/neuro-variants/variant_position/credible/roussos_2024/variant_figures/roussos_2024.childhood.Astrocyte/rs10404501_profile_position.png",4,220,900)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-0.0674851672</v>
      </c>
      <c r="G2029" t="n">
        <v>0.1462143080084251</v>
      </c>
      <c r="H2029" t="n">
        <v>0.0140017841179732</v>
      </c>
      <c r="I2029" t="n">
        <v>0.362968706352508</v>
      </c>
      <c r="J2029" t="n">
        <v>0.0030577118301237</v>
      </c>
      <c r="K2029" t="n">
        <v>0.8295214729709167</v>
      </c>
      <c r="L2029" t="b">
        <v>0</v>
      </c>
      <c r="M2029" t="b">
        <v>0</v>
      </c>
      <c r="N2029" t="inlineStr">
        <is>
          <t>ref</t>
        </is>
      </c>
      <c r="O2029" t="n">
        <v>-75</v>
      </c>
      <c r="P2029" t="n">
        <v>0.03778</v>
      </c>
      <c r="Q2029" t="n">
        <v>-80</v>
      </c>
      <c r="R2029" t="n">
        <v>0.03235</v>
      </c>
      <c r="S2029">
        <f>IMAGE("https://mitra.stanford.edu/kundaje/oak/projects/neuro-variants/variant_position/credible/roussos_2024/variant_figures/roussos_2024.childhood.Astrocyte/rs12461525_count_position.png",4,220,900)</f>
        <v/>
      </c>
      <c r="T2029">
        <f>IMAGE("https://mitra.stanford.edu/kundaje/oak/projects/neuro-variants/variant_position/credible/roussos_2024/variant_figures/roussos_2024.childhood.Astrocyte/rs12461525_profile_position.png",4,220,900)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0.206594142</v>
      </c>
      <c r="G2030" t="n">
        <v>0.0147196501433218</v>
      </c>
      <c r="H2030" t="n">
        <v>0.0274661280037108</v>
      </c>
      <c r="I2030" t="n">
        <v>0.0414033021897891</v>
      </c>
      <c r="J2030" t="n">
        <v>0.1423141214993931</v>
      </c>
      <c r="K2030" t="n">
        <v>0.2654243798390306</v>
      </c>
      <c r="L2030" t="b">
        <v>1</v>
      </c>
      <c r="M2030" t="b">
        <v>0</v>
      </c>
      <c r="N2030" t="inlineStr">
        <is>
          <t>alt</t>
        </is>
      </c>
      <c r="O2030" t="n">
        <v>35</v>
      </c>
      <c r="P2030" t="n">
        <v>0.001968</v>
      </c>
      <c r="Q2030" t="n">
        <v>55</v>
      </c>
      <c r="R2030" t="n">
        <v>0.0862</v>
      </c>
      <c r="S2030">
        <f>IMAGE("https://mitra.stanford.edu/kundaje/oak/projects/neuro-variants/variant_position/credible/roussos_2024/variant_figures/roussos_2024.childhood.Astrocyte/rs1476503_count_position.png",4,220,900)</f>
        <v/>
      </c>
      <c r="T2030">
        <f>IMAGE("https://mitra.stanford.edu/kundaje/oak/projects/neuro-variants/variant_position/credible/roussos_2024/variant_figures/roussos_2024.childhood.Astrocyte/rs1476503_profile_position.png",4,220,900)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0.0151636316899999</v>
      </c>
      <c r="G2031" t="n">
        <v>0.5463386784083242</v>
      </c>
      <c r="H2031" t="n">
        <v>0.0131932904234018</v>
      </c>
      <c r="I2031" t="n">
        <v>0.4161856546347945</v>
      </c>
      <c r="J2031" t="n">
        <v>0.102630273331654</v>
      </c>
      <c r="K2031" t="n">
        <v>0.3276419652122042</v>
      </c>
      <c r="L2031" t="b">
        <v>0</v>
      </c>
      <c r="M2031" t="b">
        <v>0</v>
      </c>
      <c r="N2031" t="inlineStr">
        <is>
          <t>alt</t>
        </is>
      </c>
      <c r="O2031" t="n">
        <v>-35</v>
      </c>
      <c r="P2031" t="n">
        <v>4.58e-05</v>
      </c>
      <c r="Q2031" t="n">
        <v>50</v>
      </c>
      <c r="R2031" t="n">
        <v>0.0852</v>
      </c>
      <c r="S2031">
        <f>IMAGE("https://mitra.stanford.edu/kundaje/oak/projects/neuro-variants/variant_position/credible/roussos_2024/variant_figures/roussos_2024.childhood.Astrocyte/rs1476504_count_position.png",4,220,900)</f>
        <v/>
      </c>
      <c r="T2031">
        <f>IMAGE("https://mitra.stanford.edu/kundaje/oak/projects/neuro-variants/variant_position/credible/roussos_2024/variant_figures/roussos_2024.childhood.Astrocyte/rs1476504_profile_position.png",4,220,900)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-0.0272708667999999</v>
      </c>
      <c r="G2032" t="n">
        <v>0.2845183138554796</v>
      </c>
      <c r="H2032" t="n">
        <v>0.0115003001441073</v>
      </c>
      <c r="I2032" t="n">
        <v>0.5531556166282309</v>
      </c>
      <c r="J2032" t="n">
        <v>0.1729904665949179</v>
      </c>
      <c r="K2032" t="n">
        <v>0.2263437192470778</v>
      </c>
      <c r="L2032" t="b">
        <v>0</v>
      </c>
      <c r="M2032" t="b">
        <v>0</v>
      </c>
      <c r="N2032" t="inlineStr">
        <is>
          <t>ref</t>
        </is>
      </c>
      <c r="O2032" t="n">
        <v>0</v>
      </c>
      <c r="P2032" t="n">
        <v>0</v>
      </c>
      <c r="Q2032" t="n">
        <v>0</v>
      </c>
      <c r="R2032" t="n">
        <v>0</v>
      </c>
      <c r="S2032">
        <f>IMAGE("https://mitra.stanford.edu/kundaje/oak/projects/neuro-variants/variant_position/credible/roussos_2024/variant_figures/roussos_2024.childhood.Astrocyte/rs7249719_count_position.png",4,220,900)</f>
        <v/>
      </c>
      <c r="T2032">
        <f>IMAGE("https://mitra.stanford.edu/kundaje/oak/projects/neuro-variants/variant_position/credible/roussos_2024/variant_figures/roussos_2024.childhood.Astrocyte/rs7249719_profile_position.png",4,220,900)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-0.201037945</v>
      </c>
      <c r="G2033" t="n">
        <v>0.0171498562947735</v>
      </c>
      <c r="H2033" t="n">
        <v>0.0185825069757181</v>
      </c>
      <c r="I2033" t="n">
        <v>0.1653054936442819</v>
      </c>
      <c r="J2033" t="n">
        <v>0.2467403998076526</v>
      </c>
      <c r="K2033" t="n">
        <v>0.1664816369120739</v>
      </c>
      <c r="L2033" t="b">
        <v>1</v>
      </c>
      <c r="M2033" t="b">
        <v>0</v>
      </c>
      <c r="N2033" t="inlineStr">
        <is>
          <t>ref</t>
        </is>
      </c>
      <c r="O2033" t="n">
        <v>35</v>
      </c>
      <c r="P2033" t="n">
        <v>0.01077</v>
      </c>
      <c r="Q2033" t="n">
        <v>55</v>
      </c>
      <c r="R2033" t="n">
        <v>0.01563</v>
      </c>
      <c r="S2033">
        <f>IMAGE("https://mitra.stanford.edu/kundaje/oak/projects/neuro-variants/variant_position/credible/roussos_2024/variant_figures/roussos_2024.childhood.Astrocyte/rs2287897_count_position.png",4,220,900)</f>
        <v/>
      </c>
      <c r="T2033">
        <f>IMAGE("https://mitra.stanford.edu/kundaje/oak/projects/neuro-variants/variant_position/credible/roussos_2024/variant_figures/roussos_2024.childhood.Astrocyte/rs2287897_profile_position.png",4,220,900)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-0.00692493936</v>
      </c>
      <c r="G2034" t="n">
        <v>0.8022497476178485</v>
      </c>
      <c r="H2034" t="n">
        <v>0.0272046081829429</v>
      </c>
      <c r="I2034" t="n">
        <v>0.043699941925366</v>
      </c>
      <c r="J2034" t="n">
        <v>0.0047491470312105</v>
      </c>
      <c r="K2034" t="n">
        <v>0.7833099076428306</v>
      </c>
      <c r="L2034" t="b">
        <v>0</v>
      </c>
      <c r="M2034" t="b">
        <v>0</v>
      </c>
      <c r="N2034" t="inlineStr">
        <is>
          <t>ref</t>
        </is>
      </c>
      <c r="O2034" t="n">
        <v>-55</v>
      </c>
      <c r="P2034" t="n">
        <v>0.1157</v>
      </c>
      <c r="Q2034" t="n">
        <v>-65</v>
      </c>
      <c r="R2034" t="n">
        <v>0.1947</v>
      </c>
      <c r="S2034">
        <f>IMAGE("https://mitra.stanford.edu/kundaje/oak/projects/neuro-variants/variant_position/credible/roussos_2024/variant_figures/roussos_2024.childhood.Astrocyte/rs2432051_count_position.png",4,220,900)</f>
        <v/>
      </c>
      <c r="T2034">
        <f>IMAGE("https://mitra.stanford.edu/kundaje/oak/projects/neuro-variants/variant_position/credible/roussos_2024/variant_figures/roussos_2024.childhood.Astrocyte/rs2432051_profile_position.png",4,220,900)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-0.0069119469399999</v>
      </c>
      <c r="G2035" t="n">
        <v>0.6863789231637004</v>
      </c>
      <c r="H2035" t="n">
        <v>0.009563523132807001</v>
      </c>
      <c r="I2035" t="n">
        <v>0.7534643317383942</v>
      </c>
      <c r="J2035" t="n">
        <v>0.0398861181714791</v>
      </c>
      <c r="K2035" t="n">
        <v>0.4950092388497312</v>
      </c>
      <c r="L2035" t="b">
        <v>0</v>
      </c>
      <c r="M2035" t="b">
        <v>0</v>
      </c>
      <c r="N2035" t="inlineStr">
        <is>
          <t>ref</t>
        </is>
      </c>
      <c r="O2035" t="n">
        <v>5</v>
      </c>
      <c r="P2035" t="n">
        <v>0.001186</v>
      </c>
      <c r="Q2035" t="n">
        <v>55</v>
      </c>
      <c r="R2035" t="n">
        <v>0.1192</v>
      </c>
      <c r="S2035">
        <f>IMAGE("https://mitra.stanford.edu/kundaje/oak/projects/neuro-variants/variant_position/credible/roussos_2024/variant_figures/roussos_2024.childhood.Astrocyte/rs2972537_count_position.png",4,220,900)</f>
        <v/>
      </c>
      <c r="T2035">
        <f>IMAGE("https://mitra.stanford.edu/kundaje/oak/projects/neuro-variants/variant_position/credible/roussos_2024/variant_figures/roussos_2024.childhood.Astrocyte/rs2972537_profile_position.png",4,220,900)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-0.0671062556</v>
      </c>
      <c r="G2036" t="n">
        <v>0.143094450012344</v>
      </c>
      <c r="H2036" t="n">
        <v>0.017984242315106</v>
      </c>
      <c r="I2036" t="n">
        <v>0.1758518479214407</v>
      </c>
      <c r="J2036" t="n">
        <v>0.1373535450680466</v>
      </c>
      <c r="K2036" t="n">
        <v>0.2715382434394028</v>
      </c>
      <c r="L2036" t="b">
        <v>0</v>
      </c>
      <c r="M2036" t="b">
        <v>0</v>
      </c>
      <c r="N2036" t="inlineStr">
        <is>
          <t>ref</t>
        </is>
      </c>
      <c r="O2036" t="n">
        <v>25</v>
      </c>
      <c r="P2036" t="n">
        <v>0.001375</v>
      </c>
      <c r="Q2036" t="n">
        <v>10</v>
      </c>
      <c r="R2036" t="n">
        <v>0.03598</v>
      </c>
      <c r="S2036">
        <f>IMAGE("https://mitra.stanford.edu/kundaje/oak/projects/neuro-variants/variant_position/credible/roussos_2024/variant_figures/roussos_2024.childhood.Astrocyte/rs149760493_count_position.png",4,220,900)</f>
        <v/>
      </c>
      <c r="T2036">
        <f>IMAGE("https://mitra.stanford.edu/kundaje/oak/projects/neuro-variants/variant_position/credible/roussos_2024/variant_figures/roussos_2024.childhood.Astrocyte/rs149760493_profile_position.png",4,220,900)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-0.03583385214</v>
      </c>
      <c r="G2037" t="n">
        <v>0.2872540257878246</v>
      </c>
      <c r="H2037" t="n">
        <v>0.0135561011087991</v>
      </c>
      <c r="I2037" t="n">
        <v>0.3870723900707696</v>
      </c>
      <c r="J2037" t="n">
        <v>0.0808309099097035</v>
      </c>
      <c r="K2037" t="n">
        <v>0.3695295106984718</v>
      </c>
      <c r="L2037" t="b">
        <v>0</v>
      </c>
      <c r="M2037" t="b">
        <v>0</v>
      </c>
      <c r="N2037" t="inlineStr">
        <is>
          <t>ref</t>
        </is>
      </c>
      <c r="O2037" t="n">
        <v>80</v>
      </c>
      <c r="P2037" t="n">
        <v>0.003174</v>
      </c>
      <c r="Q2037" t="n">
        <v>-30</v>
      </c>
      <c r="R2037" t="n">
        <v>0.06383999999999999</v>
      </c>
      <c r="S2037">
        <f>IMAGE("https://mitra.stanford.edu/kundaje/oak/projects/neuro-variants/variant_position/credible/roussos_2024/variant_figures/roussos_2024.childhood.Astrocyte/rs140163185_count_position.png",4,220,900)</f>
        <v/>
      </c>
      <c r="T2037">
        <f>IMAGE("https://mitra.stanford.edu/kundaje/oak/projects/neuro-variants/variant_position/credible/roussos_2024/variant_figures/roussos_2024.childhood.Astrocyte/rs140163185_profile_position.png",4,220,900)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-0.0528754551</v>
      </c>
      <c r="G2038" t="n">
        <v>0.2295199335077327</v>
      </c>
      <c r="H2038" t="n">
        <v>0.0145106251023452</v>
      </c>
      <c r="I2038" t="n">
        <v>0.3192028471412647</v>
      </c>
      <c r="J2038" t="n">
        <v>0.0236510880599634</v>
      </c>
      <c r="K2038" t="n">
        <v>0.5701465628446998</v>
      </c>
      <c r="L2038" t="b">
        <v>0</v>
      </c>
      <c r="M2038" t="b">
        <v>0</v>
      </c>
      <c r="N2038" t="inlineStr">
        <is>
          <t>ref</t>
        </is>
      </c>
      <c r="O2038" t="n">
        <v>85</v>
      </c>
      <c r="P2038" t="n">
        <v>0.00804</v>
      </c>
      <c r="Q2038" t="n">
        <v>-5</v>
      </c>
      <c r="R2038" t="n">
        <v>0.01105</v>
      </c>
      <c r="S2038">
        <f>IMAGE("https://mitra.stanford.edu/kundaje/oak/projects/neuro-variants/variant_position/credible/roussos_2024/variant_figures/roussos_2024.childhood.Astrocyte/rs150020955_count_position.png",4,220,900)</f>
        <v/>
      </c>
      <c r="T2038">
        <f>IMAGE("https://mitra.stanford.edu/kundaje/oak/projects/neuro-variants/variant_position/credible/roussos_2024/variant_figures/roussos_2024.childhood.Astrocyte/rs150020955_profile_position.png",4,220,900)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0.01195839028</v>
      </c>
      <c r="G2039" t="n">
        <v>0.6147425127594974</v>
      </c>
      <c r="H2039" t="n">
        <v>0.0097445265864289</v>
      </c>
      <c r="I2039" t="n">
        <v>0.7373913685163238</v>
      </c>
      <c r="J2039" t="n">
        <v>0.2670879989008724</v>
      </c>
      <c r="K2039" t="n">
        <v>0.1522811685566457</v>
      </c>
      <c r="L2039" t="b">
        <v>0</v>
      </c>
      <c r="M2039" t="b">
        <v>0</v>
      </c>
      <c r="N2039" t="inlineStr">
        <is>
          <t>alt</t>
        </is>
      </c>
      <c r="O2039" t="n">
        <v>100</v>
      </c>
      <c r="P2039" t="n">
        <v>0.0338</v>
      </c>
      <c r="Q2039" t="n">
        <v>95</v>
      </c>
      <c r="R2039" t="n">
        <v>0.1575</v>
      </c>
      <c r="S2039">
        <f>IMAGE("https://mitra.stanford.edu/kundaje/oak/projects/neuro-variants/variant_position/credible/roussos_2024/variant_figures/roussos_2024.childhood.Astrocyte/rs148362166_count_position.png",4,220,900)</f>
        <v/>
      </c>
      <c r="T2039">
        <f>IMAGE("https://mitra.stanford.edu/kundaje/oak/projects/neuro-variants/variant_position/credible/roussos_2024/variant_figures/roussos_2024.childhood.Astrocyte/rs148362166_profile_position.png",4,220,900)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-0.056760573</v>
      </c>
      <c r="G2040" t="n">
        <v>0.1904096789801986</v>
      </c>
      <c r="H2040" t="n">
        <v>0.0158110621934036</v>
      </c>
      <c r="I2040" t="n">
        <v>0.2559377173988609</v>
      </c>
      <c r="J2040" t="n">
        <v>0.2362910550861365</v>
      </c>
      <c r="K2040" t="n">
        <v>0.1726704252964718</v>
      </c>
      <c r="L2040" t="b">
        <v>0</v>
      </c>
      <c r="M2040" t="b">
        <v>0</v>
      </c>
      <c r="N2040" t="inlineStr">
        <is>
          <t>ref</t>
        </is>
      </c>
      <c r="O2040" t="n">
        <v>-80</v>
      </c>
      <c r="P2040" t="n">
        <v>0.00809</v>
      </c>
      <c r="Q2040" t="n">
        <v>-25</v>
      </c>
      <c r="R2040" t="n">
        <v>0.01126</v>
      </c>
      <c r="S2040">
        <f>IMAGE("https://mitra.stanford.edu/kundaje/oak/projects/neuro-variants/variant_position/credible/roussos_2024/variant_figures/roussos_2024.childhood.Astrocyte/rs12983497_count_position.png",4,220,900)</f>
        <v/>
      </c>
      <c r="T2040">
        <f>IMAGE("https://mitra.stanford.edu/kundaje/oak/projects/neuro-variants/variant_position/credible/roussos_2024/variant_figures/roussos_2024.childhood.Astrocyte/rs12983497_profile_position.png",4,220,900)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-0.191630336</v>
      </c>
      <c r="G2041" t="n">
        <v>0.0186580886069653</v>
      </c>
      <c r="H2041" t="n">
        <v>0.0260052541887992</v>
      </c>
      <c r="I2041" t="n">
        <v>0.0530679660959127</v>
      </c>
      <c r="J2041" t="n">
        <v>0.2878508239640341</v>
      </c>
      <c r="K2041" t="n">
        <v>0.1401495501799944</v>
      </c>
      <c r="L2041" t="b">
        <v>1</v>
      </c>
      <c r="M2041" t="b">
        <v>0</v>
      </c>
      <c r="N2041" t="inlineStr">
        <is>
          <t>ref</t>
        </is>
      </c>
      <c r="O2041" t="n">
        <v>-35</v>
      </c>
      <c r="P2041" t="n">
        <v>0.008240000000000001</v>
      </c>
      <c r="Q2041" t="n">
        <v>-35</v>
      </c>
      <c r="R2041" t="n">
        <v>0.03564</v>
      </c>
      <c r="S2041">
        <f>IMAGE("https://mitra.stanford.edu/kundaje/oak/projects/neuro-variants/variant_position/credible/roussos_2024/variant_figures/roussos_2024.childhood.Astrocyte/rs3810356_count_position.png",4,220,900)</f>
        <v/>
      </c>
      <c r="T2041">
        <f>IMAGE("https://mitra.stanford.edu/kundaje/oak/projects/neuro-variants/variant_position/credible/roussos_2024/variant_figures/roussos_2024.childhood.Astrocyte/rs3810356_profile_position.png",4,220,900)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-0.0071287824</v>
      </c>
      <c r="G2042" t="n">
        <v>0.7383981388057944</v>
      </c>
      <c r="H2042" t="n">
        <v>0.025499554677762</v>
      </c>
      <c r="I2042" t="n">
        <v>0.0573739661727737</v>
      </c>
      <c r="J2042" t="n">
        <v>0.08132551731507549</v>
      </c>
      <c r="K2042" t="n">
        <v>0.3675525556860327</v>
      </c>
      <c r="L2042" t="b">
        <v>0</v>
      </c>
      <c r="M2042" t="b">
        <v>0</v>
      </c>
      <c r="N2042" t="inlineStr">
        <is>
          <t>ref</t>
        </is>
      </c>
      <c r="O2042" t="n">
        <v>-75</v>
      </c>
      <c r="P2042" t="n">
        <v>0.0597</v>
      </c>
      <c r="Q2042" t="n">
        <v>5</v>
      </c>
      <c r="R2042" t="n">
        <v>0.01062</v>
      </c>
      <c r="S2042">
        <f>IMAGE("https://mitra.stanford.edu/kundaje/oak/projects/neuro-variants/variant_position/credible/roussos_2024/variant_figures/roussos_2024.childhood.Astrocyte/rs569675332_count_position.png",4,220,900)</f>
        <v/>
      </c>
      <c r="T2042">
        <f>IMAGE("https://mitra.stanford.edu/kundaje/oak/projects/neuro-variants/variant_position/credible/roussos_2024/variant_figures/roussos_2024.childhood.Astrocyte/rs569675332_profile_position.png",4,220,900)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-0.001918999198</v>
      </c>
      <c r="G2043" t="n">
        <v>0.8277809909385619</v>
      </c>
      <c r="H2043" t="n">
        <v>0.0246724263713796</v>
      </c>
      <c r="I2043" t="n">
        <v>0.0633764348161535</v>
      </c>
      <c r="J2043" t="n">
        <v>0.0829016967781822</v>
      </c>
      <c r="K2043" t="n">
        <v>0.3662907095714702</v>
      </c>
      <c r="L2043" t="b">
        <v>0</v>
      </c>
      <c r="M2043" t="b">
        <v>0</v>
      </c>
      <c r="N2043" t="inlineStr">
        <is>
          <t>ref</t>
        </is>
      </c>
      <c r="O2043" t="n">
        <v>-100</v>
      </c>
      <c r="P2043" t="n">
        <v>0.08984</v>
      </c>
      <c r="Q2043" t="n">
        <v>-35</v>
      </c>
      <c r="R2043" t="n">
        <v>0.0912</v>
      </c>
      <c r="S2043">
        <f>IMAGE("https://mitra.stanford.edu/kundaje/oak/projects/neuro-variants/variant_position/credible/roussos_2024/variant_figures/roussos_2024.childhood.Astrocyte/rs182522360_count_position.png",4,220,900)</f>
        <v/>
      </c>
      <c r="T2043">
        <f>IMAGE("https://mitra.stanford.edu/kundaje/oak/projects/neuro-variants/variant_position/credible/roussos_2024/variant_figures/roussos_2024.childhood.Astrocyte/rs182522360_profile_position.png",4,220,900)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0.089091326</v>
      </c>
      <c r="G2044" t="n">
        <v>0.08748552989838509</v>
      </c>
      <c r="H2044" t="n">
        <v>0.0172635094040665</v>
      </c>
      <c r="I2044" t="n">
        <v>0.1982251667384581</v>
      </c>
      <c r="J2044" t="n">
        <v>0.2006190225397479</v>
      </c>
      <c r="K2044" t="n">
        <v>0.2030128044681714</v>
      </c>
      <c r="L2044" t="b">
        <v>0</v>
      </c>
      <c r="M2044" t="b">
        <v>0</v>
      </c>
      <c r="N2044" t="inlineStr">
        <is>
          <t>alt</t>
        </is>
      </c>
      <c r="O2044" t="n">
        <v>-20</v>
      </c>
      <c r="P2044" t="n">
        <v>0.005642</v>
      </c>
      <c r="Q2044" t="n">
        <v>-20</v>
      </c>
      <c r="R2044" t="n">
        <v>0.07006999999999999</v>
      </c>
      <c r="S2044">
        <f>IMAGE("https://mitra.stanford.edu/kundaje/oak/projects/neuro-variants/variant_position/credible/roussos_2024/variant_figures/roussos_2024.childhood.Astrocyte/rs855616_count_position.png",4,220,900)</f>
        <v/>
      </c>
      <c r="T2044">
        <f>IMAGE("https://mitra.stanford.edu/kundaje/oak/projects/neuro-variants/variant_position/credible/roussos_2024/variant_figures/roussos_2024.childhood.Astrocyte/rs855616_profile_position.png",4,220,900)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0.1080878694</v>
      </c>
      <c r="G2045" t="n">
        <v>0.0602615845714199</v>
      </c>
      <c r="H2045" t="n">
        <v>0.0181401105279057</v>
      </c>
      <c r="I2045" t="n">
        <v>0.1775853825114973</v>
      </c>
      <c r="J2045" t="n">
        <v>0.2603176783983268</v>
      </c>
      <c r="K2045" t="n">
        <v>0.1559483929465206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0.03223</v>
      </c>
      <c r="Q2045" t="n">
        <v>80</v>
      </c>
      <c r="R2045" t="n">
        <v>0.1271</v>
      </c>
      <c r="S2045">
        <f>IMAGE("https://mitra.stanford.edu/kundaje/oak/projects/neuro-variants/variant_position/credible/roussos_2024/variant_figures/roussos_2024.childhood.Astrocyte/rs8110434_count_position.png",4,220,900)</f>
        <v/>
      </c>
      <c r="T2045">
        <f>IMAGE("https://mitra.stanford.edu/kundaje/oak/projects/neuro-variants/variant_position/credible/roussos_2024/variant_figures/roussos_2024.childhood.Astrocyte/rs8110434_profile_position.png",4,220,900)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-0.0329540564</v>
      </c>
      <c r="G2046" t="n">
        <v>0.3619605008273189</v>
      </c>
      <c r="H2046" t="n">
        <v>0.0426406271518249</v>
      </c>
      <c r="I2046" t="n">
        <v>0.0074712076612479</v>
      </c>
      <c r="J2046" t="n">
        <v>0.0053735125521894</v>
      </c>
      <c r="K2046" t="n">
        <v>0.7690063967798025</v>
      </c>
      <c r="L2046" t="b">
        <v>0</v>
      </c>
      <c r="M2046" t="b">
        <v>0</v>
      </c>
      <c r="N2046" t="inlineStr">
        <is>
          <t>ref</t>
        </is>
      </c>
      <c r="O2046" t="n">
        <v>-75</v>
      </c>
      <c r="P2046" t="n">
        <v>0.01276</v>
      </c>
      <c r="Q2046" t="n">
        <v>80</v>
      </c>
      <c r="R2046" t="n">
        <v>0.0893</v>
      </c>
      <c r="S2046">
        <f>IMAGE("https://mitra.stanford.edu/kundaje/oak/projects/neuro-variants/variant_position/credible/roussos_2024/variant_figures/roussos_2024.childhood.Astrocyte/rs4803805_count_position.png",4,220,900)</f>
        <v/>
      </c>
      <c r="T2046">
        <f>IMAGE("https://mitra.stanford.edu/kundaje/oak/projects/neuro-variants/variant_position/credible/roussos_2024/variant_figures/roussos_2024.childhood.Astrocyte/rs4803805_profile_position.png",4,220,900)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0.211481956</v>
      </c>
      <c r="G2047" t="n">
        <v>0.0170829219225476</v>
      </c>
      <c r="H2047" t="n">
        <v>0.0301782528120843</v>
      </c>
      <c r="I2047" t="n">
        <v>0.0303010917974937</v>
      </c>
      <c r="J2047" t="n">
        <v>0.0344599390900139</v>
      </c>
      <c r="K2047" t="n">
        <v>0.5188696000272451</v>
      </c>
      <c r="L2047" t="b">
        <v>1</v>
      </c>
      <c r="M2047" t="b">
        <v>0</v>
      </c>
      <c r="N2047" t="inlineStr">
        <is>
          <t>alt</t>
        </is>
      </c>
      <c r="O2047" t="n">
        <v>-20</v>
      </c>
      <c r="P2047" t="n">
        <v>0.001453</v>
      </c>
      <c r="Q2047" t="n">
        <v>80</v>
      </c>
      <c r="R2047" t="n">
        <v>0.04205</v>
      </c>
      <c r="S2047">
        <f>IMAGE("https://mitra.stanford.edu/kundaje/oak/projects/neuro-variants/variant_position/credible/roussos_2024/variant_figures/roussos_2024.childhood.Astrocyte/rs61185863_count_position.png",4,220,900)</f>
        <v/>
      </c>
      <c r="T2047">
        <f>IMAGE("https://mitra.stanford.edu/kundaje/oak/projects/neuro-variants/variant_position/credible/roussos_2024/variant_figures/roussos_2024.childhood.Astrocyte/rs61185863_profile_position.png",4,220,900)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-0.00068498378</v>
      </c>
      <c r="G2048" t="n">
        <v>0.7307709875876042</v>
      </c>
      <c r="H2048" t="n">
        <v>0.0323367770407277</v>
      </c>
      <c r="I2048" t="n">
        <v>0.0228804509223415</v>
      </c>
      <c r="J2048" t="n">
        <v>0.0059375787135627</v>
      </c>
      <c r="K2048" t="n">
        <v>0.7520542404484212</v>
      </c>
      <c r="L2048" t="b">
        <v>0</v>
      </c>
      <c r="M2048" t="b">
        <v>0</v>
      </c>
      <c r="N2048" t="inlineStr">
        <is>
          <t>ref</t>
        </is>
      </c>
      <c r="O2048" t="n">
        <v>-100</v>
      </c>
      <c r="P2048" t="n">
        <v>0.01843</v>
      </c>
      <c r="Q2048" t="n">
        <v>-65</v>
      </c>
      <c r="R2048" t="n">
        <v>0.1248</v>
      </c>
      <c r="S2048">
        <f>IMAGE("https://mitra.stanford.edu/kundaje/oak/projects/neuro-variants/variant_position/credible/roussos_2024/variant_figures/roussos_2024.childhood.Astrocyte/rs10401165_count_position.png",4,220,900)</f>
        <v/>
      </c>
      <c r="T2048">
        <f>IMAGE("https://mitra.stanford.edu/kundaje/oak/projects/neuro-variants/variant_position/credible/roussos_2024/variant_figures/roussos_2024.childhood.Astrocyte/rs10401165_profile_position.png",4,220,900)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0.0379940602</v>
      </c>
      <c r="G2049" t="n">
        <v>0.3113241619204977</v>
      </c>
      <c r="H2049" t="n">
        <v>0.046649737206052</v>
      </c>
      <c r="I2049" t="n">
        <v>0.0052598348751158</v>
      </c>
      <c r="J2049" t="n">
        <v>0.289538442749956</v>
      </c>
      <c r="K2049" t="n">
        <v>0.1395576502462557</v>
      </c>
      <c r="L2049" t="b">
        <v>1</v>
      </c>
      <c r="M2049" t="b">
        <v>1</v>
      </c>
      <c r="N2049" t="inlineStr">
        <is>
          <t>alt</t>
        </is>
      </c>
      <c r="O2049" t="n">
        <v>100</v>
      </c>
      <c r="P2049" t="n">
        <v>0.004383</v>
      </c>
      <c r="Q2049" t="n">
        <v>-60</v>
      </c>
      <c r="R2049" t="n">
        <v>0.1326</v>
      </c>
      <c r="S2049">
        <f>IMAGE("https://mitra.stanford.edu/kundaje/oak/projects/neuro-variants/variant_position/credible/roussos_2024/variant_figures/roussos_2024.childhood.Astrocyte/rs66675705_count_position.png",4,220,900)</f>
        <v/>
      </c>
      <c r="T2049">
        <f>IMAGE("https://mitra.stanford.edu/kundaje/oak/projects/neuro-variants/variant_position/credible/roussos_2024/variant_figures/roussos_2024.childhood.Astrocyte/rs66675705_profile_position.png",4,220,900)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-0.0414758247999999</v>
      </c>
      <c r="G2050" t="n">
        <v>0.2902977091633261</v>
      </c>
      <c r="H2050" t="n">
        <v>0.013442345302045</v>
      </c>
      <c r="I2050" t="n">
        <v>0.3971530399717033</v>
      </c>
      <c r="J2050" t="n">
        <v>0.9143336920763588</v>
      </c>
      <c r="K2050" t="n">
        <v>0.0013703136950379</v>
      </c>
      <c r="L2050" t="b">
        <v>0</v>
      </c>
      <c r="M2050" t="b">
        <v>0</v>
      </c>
      <c r="N2050" t="inlineStr">
        <is>
          <t>ref</t>
        </is>
      </c>
      <c r="O2050" t="n">
        <v>100</v>
      </c>
      <c r="P2050" t="n">
        <v>0.04398</v>
      </c>
      <c r="Q2050" t="n">
        <v>100</v>
      </c>
      <c r="R2050" t="n">
        <v>0.06287</v>
      </c>
      <c r="S2050">
        <f>IMAGE("https://mitra.stanford.edu/kundaje/oak/projects/neuro-variants/variant_position/credible/roussos_2024/variant_figures/roussos_2024.childhood.Astrocyte/rs2304206_count_position.png",4,220,900)</f>
        <v/>
      </c>
      <c r="T2050">
        <f>IMAGE("https://mitra.stanford.edu/kundaje/oak/projects/neuro-variants/variant_position/credible/roussos_2024/variant_figures/roussos_2024.childhood.Astrocyte/rs2304206_profile_position.png",4,220,900)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0.0356927892</v>
      </c>
      <c r="G2051" t="n">
        <v>0.3187026939401779</v>
      </c>
      <c r="H2051" t="n">
        <v>0.0243605892877045</v>
      </c>
      <c r="I2051" t="n">
        <v>0.07169473717025319</v>
      </c>
      <c r="J2051" t="n">
        <v>0.9306885576240524</v>
      </c>
      <c r="K2051" t="n">
        <v>0.0007834333958648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0.10724</v>
      </c>
      <c r="Q2051" t="n">
        <v>100</v>
      </c>
      <c r="R2051" t="n">
        <v>0.4495</v>
      </c>
      <c r="S2051">
        <f>IMAGE("https://mitra.stanford.edu/kundaje/oak/projects/neuro-variants/variant_position/credible/roussos_2024/variant_figures/roussos_2024.childhood.Astrocyte/rs2304205_count_position.png",4,220,900)</f>
        <v/>
      </c>
      <c r="T2051">
        <f>IMAGE("https://mitra.stanford.edu/kundaje/oak/projects/neuro-variants/variant_position/credible/roussos_2024/variant_figures/roussos_2024.childhood.Astrocyte/rs2304205_profile_position.png",4,220,900)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0.0434280159399999</v>
      </c>
      <c r="G2052" t="n">
        <v>0.2574087513441435</v>
      </c>
      <c r="H2052" t="n">
        <v>0.0219159190800844</v>
      </c>
      <c r="I2052" t="n">
        <v>0.0931210453489716</v>
      </c>
      <c r="J2052" t="n">
        <v>0.6989207177913641</v>
      </c>
      <c r="K2052" t="n">
        <v>0.0184668293700432</v>
      </c>
      <c r="L2052" t="b">
        <v>0</v>
      </c>
      <c r="M2052" t="b">
        <v>0</v>
      </c>
      <c r="N2052" t="inlineStr">
        <is>
          <t>alt</t>
        </is>
      </c>
      <c r="O2052" t="n">
        <v>-65</v>
      </c>
      <c r="P2052" t="n">
        <v>0.00473</v>
      </c>
      <c r="Q2052" t="n">
        <v>-65</v>
      </c>
      <c r="R2052" t="n">
        <v>0.11084</v>
      </c>
      <c r="S2052">
        <f>IMAGE("https://mitra.stanford.edu/kundaje/oak/projects/neuro-variants/variant_position/credible/roussos_2024/variant_figures/roussos_2024.childhood.Astrocyte/rs2278999_count_position.png",4,220,900)</f>
        <v/>
      </c>
      <c r="T2052">
        <f>IMAGE("https://mitra.stanford.edu/kundaje/oak/projects/neuro-variants/variant_position/credible/roussos_2024/variant_figures/roussos_2024.childhood.Astrocyte/rs2278999_profile_position.png",4,220,900)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0.09928540919999999</v>
      </c>
      <c r="G2053" t="n">
        <v>0.07129083348937761</v>
      </c>
      <c r="H2053" t="n">
        <v>0.0131870363439351</v>
      </c>
      <c r="I2053" t="n">
        <v>0.4125400476369824</v>
      </c>
      <c r="J2053" t="n">
        <v>0.0921939044216985</v>
      </c>
      <c r="K2053" t="n">
        <v>0.3506320496432158</v>
      </c>
      <c r="L2053" t="b">
        <v>0</v>
      </c>
      <c r="M2053" t="b">
        <v>0</v>
      </c>
      <c r="N2053" t="inlineStr">
        <is>
          <t>alt</t>
        </is>
      </c>
      <c r="O2053" t="n">
        <v>100</v>
      </c>
      <c r="P2053" t="n">
        <v>0.01453</v>
      </c>
      <c r="Q2053" t="n">
        <v>-45</v>
      </c>
      <c r="R2053" t="n">
        <v>0.01245</v>
      </c>
      <c r="S2053">
        <f>IMAGE("https://mitra.stanford.edu/kundaje/oak/projects/neuro-variants/variant_position/credible/roussos_2024/variant_figures/roussos_2024.childhood.Astrocyte/rs2052241_count_position.png",4,220,900)</f>
        <v/>
      </c>
      <c r="T2053">
        <f>IMAGE("https://mitra.stanford.edu/kundaje/oak/projects/neuro-variants/variant_position/credible/roussos_2024/variant_figures/roussos_2024.childhood.Astrocyte/rs2052241_profile_position.png",4,220,900)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0.07719205464999999</v>
      </c>
      <c r="G2054" t="n">
        <v>0.12857585335565</v>
      </c>
      <c r="H2054" t="n">
        <v>0.0176085650984632</v>
      </c>
      <c r="I2054" t="n">
        <v>0.1915462648363532</v>
      </c>
      <c r="J2054" t="n">
        <v>0.483900834268355</v>
      </c>
      <c r="K2054" t="n">
        <v>0.0585758976408712</v>
      </c>
      <c r="L2054" t="b">
        <v>0</v>
      </c>
      <c r="M2054" t="b">
        <v>0</v>
      </c>
      <c r="N2054" t="inlineStr">
        <is>
          <t>alt</t>
        </is>
      </c>
      <c r="O2054" t="n">
        <v>10</v>
      </c>
      <c r="P2054" t="n">
        <v>0.0017395</v>
      </c>
      <c r="Q2054" t="n">
        <v>35</v>
      </c>
      <c r="R2054" t="n">
        <v>0.0625</v>
      </c>
      <c r="S2054">
        <f>IMAGE("https://mitra.stanford.edu/kundaje/oak/projects/neuro-variants/variant_position/credible/roussos_2024/variant_figures/roussos_2024.childhood.Astrocyte/rs758749_count_position.png",4,220,900)</f>
        <v/>
      </c>
      <c r="T2054">
        <f>IMAGE("https://mitra.stanford.edu/kundaje/oak/projects/neuro-variants/variant_position/credible/roussos_2024/variant_figures/roussos_2024.childhood.Astrocyte/rs758749_profile_position.png",4,220,900)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0.07394617940000001</v>
      </c>
      <c r="G2055" t="n">
        <v>0.1310890952974772</v>
      </c>
      <c r="H2055" t="n">
        <v>0.0145355760657328</v>
      </c>
      <c r="I2055" t="n">
        <v>0.3217917351639721</v>
      </c>
      <c r="J2055" t="n">
        <v>0.1985642646149618</v>
      </c>
      <c r="K2055" t="n">
        <v>0.2047539677840663</v>
      </c>
      <c r="L2055" t="b">
        <v>0</v>
      </c>
      <c r="M2055" t="b">
        <v>0</v>
      </c>
      <c r="N2055" t="inlineStr">
        <is>
          <t>alt</t>
        </is>
      </c>
      <c r="O2055" t="n">
        <v>5</v>
      </c>
      <c r="P2055" t="n">
        <v>0.00035</v>
      </c>
      <c r="Q2055" t="n">
        <v>45</v>
      </c>
      <c r="R2055" t="n">
        <v>0.105</v>
      </c>
      <c r="S2055">
        <f>IMAGE("https://mitra.stanford.edu/kundaje/oak/projects/neuro-variants/variant_position/credible/roussos_2024/variant_figures/roussos_2024.childhood.Astrocyte/rs17247190_count_position.png",4,220,900)</f>
        <v/>
      </c>
      <c r="T2055">
        <f>IMAGE("https://mitra.stanford.edu/kundaje/oak/projects/neuro-variants/variant_position/credible/roussos_2024/variant_figures/roussos_2024.childhood.Astrocyte/rs17247190_profile_position.png",4,220,900)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0.0021411052799999</v>
      </c>
      <c r="G2056" t="n">
        <v>0.7073505163716349</v>
      </c>
      <c r="H2056" t="n">
        <v>0.0218744637463882</v>
      </c>
      <c r="I2056" t="n">
        <v>0.0949926549119068</v>
      </c>
      <c r="J2056" t="n">
        <v>0.0588308030500789</v>
      </c>
      <c r="K2056" t="n">
        <v>0.4134020472857532</v>
      </c>
      <c r="L2056" t="b">
        <v>0</v>
      </c>
      <c r="M2056" t="b">
        <v>0</v>
      </c>
      <c r="N2056" t="inlineStr">
        <is>
          <t>alt</t>
        </is>
      </c>
      <c r="O2056" t="n">
        <v>95</v>
      </c>
      <c r="P2056" t="n">
        <v>0.01134</v>
      </c>
      <c r="Q2056" t="n">
        <v>95</v>
      </c>
      <c r="R2056" t="n">
        <v>0.0599</v>
      </c>
      <c r="S2056">
        <f>IMAGE("https://mitra.stanford.edu/kundaje/oak/projects/neuro-variants/variant_position/credible/roussos_2024/variant_figures/roussos_2024.childhood.Astrocyte/rs10206268_count_position.png",4,220,900)</f>
        <v/>
      </c>
      <c r="T2056">
        <f>IMAGE("https://mitra.stanford.edu/kundaje/oak/projects/neuro-variants/variant_position/credible/roussos_2024/variant_figures/roussos_2024.childhood.Astrocyte/rs10206268_profile_position.png",4,220,900)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-0.0010212162</v>
      </c>
      <c r="G2057" t="n">
        <v>0.49699795276998</v>
      </c>
      <c r="H2057" t="n">
        <v>0.015579988780066</v>
      </c>
      <c r="I2057" t="n">
        <v>0.2700659415364317</v>
      </c>
      <c r="J2057" t="n">
        <v>0.0080533992809873</v>
      </c>
      <c r="K2057" t="n">
        <v>0.7220805872175995</v>
      </c>
      <c r="L2057" t="b">
        <v>0</v>
      </c>
      <c r="M2057" t="b">
        <v>0</v>
      </c>
      <c r="N2057" t="inlineStr">
        <is>
          <t>ref</t>
        </is>
      </c>
      <c r="O2057" t="n">
        <v>0</v>
      </c>
      <c r="P2057" t="n">
        <v>0</v>
      </c>
      <c r="Q2057" t="n">
        <v>0</v>
      </c>
      <c r="R2057" t="n">
        <v>0</v>
      </c>
      <c r="S2057">
        <f>IMAGE("https://mitra.stanford.edu/kundaje/oak/projects/neuro-variants/variant_position/credible/roussos_2024/variant_figures/roussos_2024.childhood.Astrocyte/rs35983183_count_position.png",4,220,900)</f>
        <v/>
      </c>
      <c r="T2057">
        <f>IMAGE("https://mitra.stanford.edu/kundaje/oak/projects/neuro-variants/variant_position/credible/roussos_2024/variant_figures/roussos_2024.childhood.Astrocyte/rs35983183_profile_position.png",4,220,900)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0.0908645602</v>
      </c>
      <c r="G2058" t="n">
        <v>0.09445854752169271</v>
      </c>
      <c r="H2058" t="n">
        <v>0.0301530976442203</v>
      </c>
      <c r="I2058" t="n">
        <v>0.0312849175143404</v>
      </c>
      <c r="J2058" t="n">
        <v>0.008154152641340799</v>
      </c>
      <c r="K2058" t="n">
        <v>0.7168886969231498</v>
      </c>
      <c r="L2058" t="b">
        <v>0</v>
      </c>
      <c r="M2058" t="b">
        <v>0</v>
      </c>
      <c r="N2058" t="inlineStr">
        <is>
          <t>alt</t>
        </is>
      </c>
      <c r="O2058" t="n">
        <v>70</v>
      </c>
      <c r="P2058" t="n">
        <v>0.004196</v>
      </c>
      <c r="Q2058" t="n">
        <v>65</v>
      </c>
      <c r="R2058" t="n">
        <v>0.1759</v>
      </c>
      <c r="S2058">
        <f>IMAGE("https://mitra.stanford.edu/kundaje/oak/projects/neuro-variants/variant_position/credible/roussos_2024/variant_figures/roussos_2024.childhood.Astrocyte/rs35925486_count_position.png",4,220,900)</f>
        <v/>
      </c>
      <c r="T2058">
        <f>IMAGE("https://mitra.stanford.edu/kundaje/oak/projects/neuro-variants/variant_position/credible/roussos_2024/variant_figures/roussos_2024.childhood.Astrocyte/rs35925486_profile_position.png",4,220,900)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0.0508399889999999</v>
      </c>
      <c r="G2059" t="n">
        <v>0.2080634173114006</v>
      </c>
      <c r="H2059" t="n">
        <v>0.027356920672472</v>
      </c>
      <c r="I2059" t="n">
        <v>0.0437507184409719</v>
      </c>
      <c r="J2059" t="n">
        <v>0.010492851854396</v>
      </c>
      <c r="K2059" t="n">
        <v>0.6854694727230318</v>
      </c>
      <c r="L2059" t="b">
        <v>0</v>
      </c>
      <c r="M2059" t="b">
        <v>0</v>
      </c>
      <c r="N2059" t="inlineStr">
        <is>
          <t>alt</t>
        </is>
      </c>
      <c r="O2059" t="n">
        <v>-100</v>
      </c>
      <c r="P2059" t="n">
        <v>0.003204</v>
      </c>
      <c r="Q2059" t="n">
        <v>10</v>
      </c>
      <c r="R2059" t="n">
        <v>0.007355</v>
      </c>
      <c r="S2059">
        <f>IMAGE("https://mitra.stanford.edu/kundaje/oak/projects/neuro-variants/variant_position/credible/roussos_2024/variant_figures/roussos_2024.childhood.Astrocyte/rs6531063_count_position.png",4,220,900)</f>
        <v/>
      </c>
      <c r="T2059">
        <f>IMAGE("https://mitra.stanford.edu/kundaje/oak/projects/neuro-variants/variant_position/credible/roussos_2024/variant_figures/roussos_2024.childhood.Astrocyte/rs6531063_profile_position.png",4,220,900)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0.210388378</v>
      </c>
      <c r="G2060" t="n">
        <v>0.0155798488560202</v>
      </c>
      <c r="H2060" t="n">
        <v>0.0191720956544727</v>
      </c>
      <c r="I2060" t="n">
        <v>0.1470560663210952</v>
      </c>
      <c r="J2060" t="n">
        <v>0.08265210322639729</v>
      </c>
      <c r="K2060" t="n">
        <v>0.3551169521933429</v>
      </c>
      <c r="L2060" t="b">
        <v>1</v>
      </c>
      <c r="M2060" t="b">
        <v>0</v>
      </c>
      <c r="N2060" t="inlineStr">
        <is>
          <t>alt</t>
        </is>
      </c>
      <c r="O2060" t="n">
        <v>100</v>
      </c>
      <c r="P2060" t="n">
        <v>0.03015</v>
      </c>
      <c r="Q2060" t="n">
        <v>100</v>
      </c>
      <c r="R2060" t="n">
        <v>0.1318</v>
      </c>
      <c r="S2060">
        <f>IMAGE("https://mitra.stanford.edu/kundaje/oak/projects/neuro-variants/variant_position/credible/roussos_2024/variant_figures/roussos_2024.childhood.Astrocyte/rs2061607_count_position.png",4,220,900)</f>
        <v/>
      </c>
      <c r="T2060">
        <f>IMAGE("https://mitra.stanford.edu/kundaje/oak/projects/neuro-variants/variant_position/credible/roussos_2024/variant_figures/roussos_2024.childhood.Astrocyte/rs2061607_profile_position.png",4,220,900)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-0.0271893872</v>
      </c>
      <c r="G2061" t="n">
        <v>0.4193083828488976</v>
      </c>
      <c r="H2061" t="n">
        <v>0.0114528573827035</v>
      </c>
      <c r="I2061" t="n">
        <v>0.5658581867434288</v>
      </c>
      <c r="J2061" t="n">
        <v>0.0237007014571072</v>
      </c>
      <c r="K2061" t="n">
        <v>0.5622825395528055</v>
      </c>
      <c r="L2061" t="b">
        <v>0</v>
      </c>
      <c r="M2061" t="b">
        <v>0</v>
      </c>
      <c r="N2061" t="inlineStr">
        <is>
          <t>ref</t>
        </is>
      </c>
      <c r="O2061" t="n">
        <v>-100</v>
      </c>
      <c r="P2061" t="n">
        <v>0.01557</v>
      </c>
      <c r="Q2061" t="n">
        <v>30</v>
      </c>
      <c r="R2061" t="n">
        <v>0.02646</v>
      </c>
      <c r="S2061">
        <f>IMAGE("https://mitra.stanford.edu/kundaje/oak/projects/neuro-variants/variant_position/credible/roussos_2024/variant_figures/roussos_2024.childhood.Astrocyte/rs4552217_count_position.png",4,220,900)</f>
        <v/>
      </c>
      <c r="T2061">
        <f>IMAGE("https://mitra.stanford.edu/kundaje/oak/projects/neuro-variants/variant_position/credible/roussos_2024/variant_figures/roussos_2024.childhood.Astrocyte/rs4552217_profile_position.png",4,220,900)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0.01591429094</v>
      </c>
      <c r="G2062" t="n">
        <v>0.4990137311361411</v>
      </c>
      <c r="H2062" t="n">
        <v>0.0122070908501078</v>
      </c>
      <c r="I2062" t="n">
        <v>0.5002709161940847</v>
      </c>
      <c r="J2062" t="n">
        <v>0.025189866654454</v>
      </c>
      <c r="K2062" t="n">
        <v>0.5522458134736556</v>
      </c>
      <c r="L2062" t="b">
        <v>0</v>
      </c>
      <c r="M2062" t="b">
        <v>0</v>
      </c>
      <c r="N2062" t="inlineStr">
        <is>
          <t>alt</t>
        </is>
      </c>
      <c r="O2062" t="n">
        <v>-90</v>
      </c>
      <c r="P2062" t="n">
        <v>0.00885</v>
      </c>
      <c r="Q2062" t="n">
        <v>0</v>
      </c>
      <c r="R2062" t="n">
        <v>0</v>
      </c>
      <c r="S2062">
        <f>IMAGE("https://mitra.stanford.edu/kundaje/oak/projects/neuro-variants/variant_position/credible/roussos_2024/variant_figures/roussos_2024.childhood.Astrocyte/rs4277554_count_position.png",4,220,900)</f>
        <v/>
      </c>
      <c r="T2062">
        <f>IMAGE("https://mitra.stanford.edu/kundaje/oak/projects/neuro-variants/variant_position/credible/roussos_2024/variant_figures/roussos_2024.childhood.Astrocyte/rs4277554_profile_position.png",4,220,900)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-0.0308697865999999</v>
      </c>
      <c r="G2063" t="n">
        <v>0.3913826816849307</v>
      </c>
      <c r="H2063" t="n">
        <v>0.0319531237283085</v>
      </c>
      <c r="I2063" t="n">
        <v>0.0239146067951266</v>
      </c>
      <c r="J2063" t="n">
        <v>0.0030149679802767</v>
      </c>
      <c r="K2063" t="n">
        <v>0.8258034458200036</v>
      </c>
      <c r="L2063" t="b">
        <v>0</v>
      </c>
      <c r="M2063" t="b">
        <v>0</v>
      </c>
      <c r="N2063" t="inlineStr">
        <is>
          <t>ref</t>
        </is>
      </c>
      <c r="O2063" t="n">
        <v>5</v>
      </c>
      <c r="P2063" t="n">
        <v>3.05e-05</v>
      </c>
      <c r="Q2063" t="n">
        <v>5</v>
      </c>
      <c r="R2063" t="n">
        <v>0.007860000000000001</v>
      </c>
      <c r="S2063">
        <f>IMAGE("https://mitra.stanford.edu/kundaje/oak/projects/neuro-variants/variant_position/credible/roussos_2024/variant_figures/roussos_2024.childhood.Astrocyte/rs7608960_count_position.png",4,220,900)</f>
        <v/>
      </c>
      <c r="T2063">
        <f>IMAGE("https://mitra.stanford.edu/kundaje/oak/projects/neuro-variants/variant_position/credible/roussos_2024/variant_figures/roussos_2024.childhood.Astrocyte/rs7608960_profile_position.png",4,220,900)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-0.0376080408</v>
      </c>
      <c r="G2064" t="n">
        <v>0.3159113713022636</v>
      </c>
      <c r="H2064" t="n">
        <v>0.0155382274791585</v>
      </c>
      <c r="I2064" t="n">
        <v>0.2733007762758623</v>
      </c>
      <c r="J2064" t="n">
        <v>0.0058314823719783</v>
      </c>
      <c r="K2064" t="n">
        <v>0.7587277356052343</v>
      </c>
      <c r="L2064" t="b">
        <v>0</v>
      </c>
      <c r="M2064" t="b">
        <v>0</v>
      </c>
      <c r="N2064" t="inlineStr">
        <is>
          <t>ref</t>
        </is>
      </c>
      <c r="O2064" t="n">
        <v>-95</v>
      </c>
      <c r="P2064" t="n">
        <v>0.01344</v>
      </c>
      <c r="Q2064" t="n">
        <v>-90</v>
      </c>
      <c r="R2064" t="n">
        <v>0.1708</v>
      </c>
      <c r="S2064">
        <f>IMAGE("https://mitra.stanford.edu/kundaje/oak/projects/neuro-variants/variant_position/credible/roussos_2024/variant_figures/roussos_2024.childhood.Astrocyte/rs11895519_count_position.png",4,220,900)</f>
        <v/>
      </c>
      <c r="T2064">
        <f>IMAGE("https://mitra.stanford.edu/kundaje/oak/projects/neuro-variants/variant_position/credible/roussos_2024/variant_figures/roussos_2024.childhood.Astrocyte/rs11895519_profile_position.png",4,220,900)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-0.0234107923</v>
      </c>
      <c r="G2065" t="n">
        <v>0.4712885633932789</v>
      </c>
      <c r="H2065" t="n">
        <v>0.0494600823214163</v>
      </c>
      <c r="I2065" t="n">
        <v>0.0041793516121082</v>
      </c>
      <c r="J2065" t="n">
        <v>0.000199216871608</v>
      </c>
      <c r="K2065" t="n">
        <v>0.9724398426638466</v>
      </c>
      <c r="L2065" t="b">
        <v>0</v>
      </c>
      <c r="M2065" t="b">
        <v>0</v>
      </c>
      <c r="N2065" t="inlineStr">
        <is>
          <t>ref</t>
        </is>
      </c>
      <c r="O2065" t="n">
        <v>-40</v>
      </c>
      <c r="P2065" t="n">
        <v>0.006348</v>
      </c>
      <c r="Q2065" t="n">
        <v>100</v>
      </c>
      <c r="R2065" t="n">
        <v>0.09265</v>
      </c>
      <c r="S2065">
        <f>IMAGE("https://mitra.stanford.edu/kundaje/oak/projects/neuro-variants/variant_position/credible/roussos_2024/variant_figures/roussos_2024.childhood.Astrocyte/rs140227113_count_position.png",4,220,900)</f>
        <v/>
      </c>
      <c r="T2065">
        <f>IMAGE("https://mitra.stanford.edu/kundaje/oak/projects/neuro-variants/variant_position/credible/roussos_2024/variant_figures/roussos_2024.childhood.Astrocyte/rs140227113_profile_position.png",4,220,900)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-0.0307706352</v>
      </c>
      <c r="G2066" t="n">
        <v>0.2411769539999048</v>
      </c>
      <c r="H2066" t="n">
        <v>0.012912677736093</v>
      </c>
      <c r="I2066" t="n">
        <v>0.4307812120062599</v>
      </c>
      <c r="J2066" t="n">
        <v>0.1634433224183859</v>
      </c>
      <c r="K2066" t="n">
        <v>0.242392182856154</v>
      </c>
      <c r="L2066" t="b">
        <v>0</v>
      </c>
      <c r="M2066" t="b">
        <v>0</v>
      </c>
      <c r="N2066" t="inlineStr">
        <is>
          <t>ref</t>
        </is>
      </c>
      <c r="O2066" t="n">
        <v>-35</v>
      </c>
      <c r="P2066" t="n">
        <v>0.00946</v>
      </c>
      <c r="Q2066" t="n">
        <v>-30</v>
      </c>
      <c r="R2066" t="n">
        <v>0.04346</v>
      </c>
      <c r="S2066">
        <f>IMAGE("https://mitra.stanford.edu/kundaje/oak/projects/neuro-variants/variant_position/credible/roussos_2024/variant_figures/roussos_2024.childhood.Astrocyte/rs1463977_count_position.png",4,220,900)</f>
        <v/>
      </c>
      <c r="T2066">
        <f>IMAGE("https://mitra.stanford.edu/kundaje/oak/projects/neuro-variants/variant_position/credible/roussos_2024/variant_figures/roussos_2024.childhood.Astrocyte/rs1463977_profile_position.png",4,220,900)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-0.008079874799999999</v>
      </c>
      <c r="G2067" t="n">
        <v>0.6630573586403922</v>
      </c>
      <c r="H2067" t="n">
        <v>0.0073079620226218</v>
      </c>
      <c r="I2067" t="n">
        <v>0.9503219988095912</v>
      </c>
      <c r="J2067" t="n">
        <v>0.4519894972254661</v>
      </c>
      <c r="K2067" t="n">
        <v>0.0694470919822735</v>
      </c>
      <c r="L2067" t="b">
        <v>0</v>
      </c>
      <c r="M2067" t="b">
        <v>0</v>
      </c>
      <c r="N2067" t="inlineStr">
        <is>
          <t>ref</t>
        </is>
      </c>
      <c r="O2067" t="n">
        <v>-30</v>
      </c>
      <c r="P2067" t="n">
        <v>0.003056</v>
      </c>
      <c r="Q2067" t="n">
        <v>75</v>
      </c>
      <c r="R2067" t="n">
        <v>0.3245</v>
      </c>
      <c r="S2067">
        <f>IMAGE("https://mitra.stanford.edu/kundaje/oak/projects/neuro-variants/variant_position/credible/roussos_2024/variant_figures/roussos_2024.childhood.Astrocyte/rs34995758_count_position.png",4,220,900)</f>
        <v/>
      </c>
      <c r="T2067">
        <f>IMAGE("https://mitra.stanford.edu/kundaje/oak/projects/neuro-variants/variant_position/credible/roussos_2024/variant_figures/roussos_2024.childhood.Astrocyte/rs34995758_profile_position.png",4,220,900)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-0.0870946754</v>
      </c>
      <c r="G2068" t="n">
        <v>0.1119131262876346</v>
      </c>
      <c r="H2068" t="n">
        <v>0.0136680676144112</v>
      </c>
      <c r="I2068" t="n">
        <v>0.3760705247760736</v>
      </c>
      <c r="J2068" t="n">
        <v>0.1541495882088037</v>
      </c>
      <c r="K2068" t="n">
        <v>0.2454840349096096</v>
      </c>
      <c r="L2068" t="b">
        <v>0</v>
      </c>
      <c r="M2068" t="b">
        <v>0</v>
      </c>
      <c r="N2068" t="inlineStr">
        <is>
          <t>ref</t>
        </is>
      </c>
      <c r="O2068" t="n">
        <v>-100</v>
      </c>
      <c r="P2068" t="n">
        <v>0.00791</v>
      </c>
      <c r="Q2068" t="n">
        <v>30</v>
      </c>
      <c r="R2068" t="n">
        <v>0.077</v>
      </c>
      <c r="S2068">
        <f>IMAGE("https://mitra.stanford.edu/kundaje/oak/projects/neuro-variants/variant_position/credible/roussos_2024/variant_figures/roussos_2024.childhood.Astrocyte/rs3769126_count_position.png",4,220,900)</f>
        <v/>
      </c>
      <c r="T2068">
        <f>IMAGE("https://mitra.stanford.edu/kundaje/oak/projects/neuro-variants/variant_position/credible/roussos_2024/variant_figures/roussos_2024.childhood.Astrocyte/rs3769126_profile_position.png",4,220,900)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-0.0025155482</v>
      </c>
      <c r="G2069" t="n">
        <v>0.4783096290521826</v>
      </c>
      <c r="H2069" t="n">
        <v>0.0139022985963571</v>
      </c>
      <c r="I2069" t="n">
        <v>0.3660752562652499</v>
      </c>
      <c r="J2069" t="n">
        <v>0.0749940845564943</v>
      </c>
      <c r="K2069" t="n">
        <v>0.3913686326095856</v>
      </c>
      <c r="L2069" t="b">
        <v>0</v>
      </c>
      <c r="M2069" t="b">
        <v>0</v>
      </c>
      <c r="N2069" t="inlineStr">
        <is>
          <t>ref</t>
        </is>
      </c>
      <c r="O2069" t="n">
        <v>-10</v>
      </c>
      <c r="P2069" t="n">
        <v>4.96e-05</v>
      </c>
      <c r="Q2069" t="n">
        <v>-30</v>
      </c>
      <c r="R2069" t="n">
        <v>0.002228</v>
      </c>
      <c r="S2069">
        <f>IMAGE("https://mitra.stanford.edu/kundaje/oak/projects/neuro-variants/variant_position/credible/roussos_2024/variant_figures/roussos_2024.childhood.Astrocyte/rs4665905_count_position.png",4,220,900)</f>
        <v/>
      </c>
      <c r="T2069">
        <f>IMAGE("https://mitra.stanford.edu/kundaje/oak/projects/neuro-variants/variant_position/credible/roussos_2024/variant_figures/roussos_2024.childhood.Astrocyte/rs4665905_profile_position.png",4,220,900)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-0.0575507425999999</v>
      </c>
      <c r="G2070" t="n">
        <v>0.1805094139028249</v>
      </c>
      <c r="H2070" t="n">
        <v>0.0136442492181972</v>
      </c>
      <c r="I2070" t="n">
        <v>0.3821499546412858</v>
      </c>
      <c r="J2070" t="n">
        <v>0.4290345232915817</v>
      </c>
      <c r="K2070" t="n">
        <v>0.0771397183495954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0.09180000000000001</v>
      </c>
      <c r="Q2070" t="n">
        <v>-100</v>
      </c>
      <c r="R2070" t="n">
        <v>1.078</v>
      </c>
      <c r="S2070">
        <f>IMAGE("https://mitra.stanford.edu/kundaje/oak/projects/neuro-variants/variant_position/credible/roussos_2024/variant_figures/roussos_2024.childhood.Astrocyte/rs34736994_count_position.png",4,220,900)</f>
        <v/>
      </c>
      <c r="T2070">
        <f>IMAGE("https://mitra.stanford.edu/kundaje/oak/projects/neuro-variants/variant_position/credible/roussos_2024/variant_figures/roussos_2024.childhood.Astrocyte/rs34736994_profile_position.png",4,220,900)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0.264457722</v>
      </c>
      <c r="G2071" t="n">
        <v>0.0080237296068145</v>
      </c>
      <c r="H2071" t="n">
        <v>0.0373089778729783</v>
      </c>
      <c r="I2071" t="n">
        <v>0.0131688740985178</v>
      </c>
      <c r="J2071" t="n">
        <v>0.08411073710242491</v>
      </c>
      <c r="K2071" t="n">
        <v>0.3541092572135822</v>
      </c>
      <c r="L2071" t="b">
        <v>1</v>
      </c>
      <c r="M2071" t="b">
        <v>1</v>
      </c>
      <c r="N2071" t="inlineStr">
        <is>
          <t>alt</t>
        </is>
      </c>
      <c r="O2071" t="n">
        <v>60</v>
      </c>
      <c r="P2071" t="n">
        <v>0.001472</v>
      </c>
      <c r="Q2071" t="n">
        <v>80</v>
      </c>
      <c r="R2071" t="n">
        <v>0.06665</v>
      </c>
      <c r="S2071">
        <f>IMAGE("https://mitra.stanford.edu/kundaje/oak/projects/neuro-variants/variant_position/credible/roussos_2024/variant_figures/roussos_2024.childhood.Astrocyte/rs2082610_count_position.png",4,220,900)</f>
        <v/>
      </c>
      <c r="T2071">
        <f>IMAGE("https://mitra.stanford.edu/kundaje/oak/projects/neuro-variants/variant_position/credible/roussos_2024/variant_figures/roussos_2024.childhood.Astrocyte/rs2082610_profile_position.png",4,220,900)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0.177586684</v>
      </c>
      <c r="G2072" t="n">
        <v>0.0220491438193256</v>
      </c>
      <c r="H2072" t="n">
        <v>0.0245784576934664</v>
      </c>
      <c r="I2072" t="n">
        <v>0.0632972886202572</v>
      </c>
      <c r="J2072" t="n">
        <v>0.2431086991367269</v>
      </c>
      <c r="K2072" t="n">
        <v>0.1709045204822014</v>
      </c>
      <c r="L2072" t="b">
        <v>0</v>
      </c>
      <c r="M2072" t="b">
        <v>0</v>
      </c>
      <c r="N2072" t="inlineStr">
        <is>
          <t>alt</t>
        </is>
      </c>
      <c r="O2072" t="n">
        <v>5</v>
      </c>
      <c r="P2072" t="n">
        <v>0.0004673</v>
      </c>
      <c r="Q2072" t="n">
        <v>55</v>
      </c>
      <c r="R2072" t="n">
        <v>0.05957</v>
      </c>
      <c r="S2072">
        <f>IMAGE("https://mitra.stanford.edu/kundaje/oak/projects/neuro-variants/variant_position/credible/roussos_2024/variant_figures/roussos_2024.childhood.Astrocyte/rs11891133_count_position.png",4,220,900)</f>
        <v/>
      </c>
      <c r="T2072">
        <f>IMAGE("https://mitra.stanford.edu/kundaje/oak/projects/neuro-variants/variant_position/credible/roussos_2024/variant_figures/roussos_2024.childhood.Astrocyte/rs11891133_profile_position.png",4,220,900)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-0.0194449503599999</v>
      </c>
      <c r="G2073" t="n">
        <v>0.4389050295778925</v>
      </c>
      <c r="H2073" t="n">
        <v>0.01526818640389</v>
      </c>
      <c r="I2073" t="n">
        <v>0.2882090644867467</v>
      </c>
      <c r="J2073" t="n">
        <v>0.3364284460320731</v>
      </c>
      <c r="K2073" t="n">
        <v>0.1153796413608379</v>
      </c>
      <c r="L2073" t="b">
        <v>0</v>
      </c>
      <c r="M2073" t="b">
        <v>0</v>
      </c>
      <c r="N2073" t="inlineStr">
        <is>
          <t>ref</t>
        </is>
      </c>
      <c r="O2073" t="n">
        <v>-90</v>
      </c>
      <c r="P2073" t="n">
        <v>0.005524</v>
      </c>
      <c r="Q2073" t="n">
        <v>80</v>
      </c>
      <c r="R2073" t="n">
        <v>0.05542</v>
      </c>
      <c r="S2073">
        <f>IMAGE("https://mitra.stanford.edu/kundaje/oak/projects/neuro-variants/variant_position/credible/roussos_2024/variant_figures/roussos_2024.childhood.Astrocyte/rs2082611_count_position.png",4,220,900)</f>
        <v/>
      </c>
      <c r="T2073">
        <f>IMAGE("https://mitra.stanford.edu/kundaje/oak/projects/neuro-variants/variant_position/credible/roussos_2024/variant_figures/roussos_2024.childhood.Astrocyte/rs2082611_profile_position.png",4,220,900)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-0.210489516</v>
      </c>
      <c r="G2074" t="n">
        <v>0.0152981815787095</v>
      </c>
      <c r="H2074" t="n">
        <v>0.0367280420184359</v>
      </c>
      <c r="I2074" t="n">
        <v>0.0134637004145152</v>
      </c>
      <c r="J2074" t="n">
        <v>0.4802851625411219</v>
      </c>
      <c r="K2074" t="n">
        <v>0.0615716818867456</v>
      </c>
      <c r="L2074" t="b">
        <v>1</v>
      </c>
      <c r="M2074" t="b">
        <v>0</v>
      </c>
      <c r="N2074" t="inlineStr">
        <is>
          <t>ref</t>
        </is>
      </c>
      <c r="O2074" t="n">
        <v>-75</v>
      </c>
      <c r="P2074" t="n">
        <v>0.331</v>
      </c>
      <c r="Q2074" t="n">
        <v>-25</v>
      </c>
      <c r="R2074" t="n">
        <v>0.07666000000000001</v>
      </c>
      <c r="S2074">
        <f>IMAGE("https://mitra.stanford.edu/kundaje/oak/projects/neuro-variants/variant_position/credible/roussos_2024/variant_figures/roussos_2024.childhood.Astrocyte/rs35610357_count_position.png",4,220,900)</f>
        <v/>
      </c>
      <c r="T2074">
        <f>IMAGE("https://mitra.stanford.edu/kundaje/oak/projects/neuro-variants/variant_position/credible/roussos_2024/variant_figures/roussos_2024.childhood.Astrocyte/rs35610357_profile_position.png",4,220,900)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0.1450762079999999</v>
      </c>
      <c r="G2075" t="n">
        <v>0.0325511516199312</v>
      </c>
      <c r="H2075" t="n">
        <v>0.0248013508004216</v>
      </c>
      <c r="I2075" t="n">
        <v>0.0596843147301394</v>
      </c>
      <c r="J2075" t="n">
        <v>0.3762473952966499</v>
      </c>
      <c r="K2075" t="n">
        <v>0.0967315384442696</v>
      </c>
      <c r="L2075" t="b">
        <v>0</v>
      </c>
      <c r="M2075" t="b">
        <v>0</v>
      </c>
      <c r="N2075" t="inlineStr">
        <is>
          <t>alt</t>
        </is>
      </c>
      <c r="O2075" t="n">
        <v>70</v>
      </c>
      <c r="P2075" t="n">
        <v>0.02574</v>
      </c>
      <c r="Q2075" t="n">
        <v>75</v>
      </c>
      <c r="R2075" t="n">
        <v>0.4436</v>
      </c>
      <c r="S2075">
        <f>IMAGE("https://mitra.stanford.edu/kundaje/oak/projects/neuro-variants/variant_position/credible/roussos_2024/variant_figures/roussos_2024.childhood.Astrocyte/rs12475388_count_position.png",4,220,900)</f>
        <v/>
      </c>
      <c r="T2075">
        <f>IMAGE("https://mitra.stanford.edu/kundaje/oak/projects/neuro-variants/variant_position/credible/roussos_2024/variant_figures/roussos_2024.childhood.Astrocyte/rs12475388_profile_position.png",4,220,900)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-0.0525257301599999</v>
      </c>
      <c r="G2076" t="n">
        <v>0.2134836199186676</v>
      </c>
      <c r="H2076" t="n">
        <v>0.0238070636883029</v>
      </c>
      <c r="I2076" t="n">
        <v>0.0692317035730453</v>
      </c>
      <c r="J2076" t="n">
        <v>0.2643630784731286</v>
      </c>
      <c r="K2076" t="n">
        <v>0.1521119068453313</v>
      </c>
      <c r="L2076" t="b">
        <v>0</v>
      </c>
      <c r="M2076" t="b">
        <v>0</v>
      </c>
      <c r="N2076" t="inlineStr">
        <is>
          <t>ref</t>
        </is>
      </c>
      <c r="O2076" t="n">
        <v>100</v>
      </c>
      <c r="P2076" t="n">
        <v>0.1885</v>
      </c>
      <c r="Q2076" t="n">
        <v>70</v>
      </c>
      <c r="R2076" t="n">
        <v>0.0842</v>
      </c>
      <c r="S2076">
        <f>IMAGE("https://mitra.stanford.edu/kundaje/oak/projects/neuro-variants/variant_position/credible/roussos_2024/variant_figures/roussos_2024.childhood.Astrocyte/rs2196150_count_position.png",4,220,900)</f>
        <v/>
      </c>
      <c r="T2076">
        <f>IMAGE("https://mitra.stanford.edu/kundaje/oak/projects/neuro-variants/variant_position/credible/roussos_2024/variant_figures/roussos_2024.childhood.Astrocyte/rs2196150_profile_position.png",4,220,900)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-0.0348589647999999</v>
      </c>
      <c r="G2077" t="n">
        <v>0.3366005816283909</v>
      </c>
      <c r="H2077" t="n">
        <v>0.0298648476287414</v>
      </c>
      <c r="I2077" t="n">
        <v>0.0304088976970112</v>
      </c>
      <c r="J2077" t="n">
        <v>0.0131078595253905</v>
      </c>
      <c r="K2077" t="n">
        <v>0.6625424373470125</v>
      </c>
      <c r="L2077" t="b">
        <v>0</v>
      </c>
      <c r="M2077" t="b">
        <v>0</v>
      </c>
      <c r="N2077" t="inlineStr">
        <is>
          <t>ref</t>
        </is>
      </c>
      <c r="O2077" t="n">
        <v>70</v>
      </c>
      <c r="P2077" t="n">
        <v>0.004337</v>
      </c>
      <c r="Q2077" t="n">
        <v>-100</v>
      </c>
      <c r="R2077" t="n">
        <v>0.0108</v>
      </c>
      <c r="S2077">
        <f>IMAGE("https://mitra.stanford.edu/kundaje/oak/projects/neuro-variants/variant_position/credible/roussos_2024/variant_figures/roussos_2024.childhood.Astrocyte/rs1368889_count_position.png",4,220,900)</f>
        <v/>
      </c>
      <c r="T2077">
        <f>IMAGE("https://mitra.stanford.edu/kundaje/oak/projects/neuro-variants/variant_position/credible/roussos_2024/variant_figures/roussos_2024.childhood.Astrocyte/rs1368889_profile_position.png",4,220,900)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-0.0337839282</v>
      </c>
      <c r="G2078" t="n">
        <v>0.3484773872099843</v>
      </c>
      <c r="H2078" t="n">
        <v>0.0073518505098597</v>
      </c>
      <c r="I2078" t="n">
        <v>0.950129623542625</v>
      </c>
      <c r="J2078" t="n">
        <v>0.0176242052315418</v>
      </c>
      <c r="K2078" t="n">
        <v>0.6194427465869606</v>
      </c>
      <c r="L2078" t="b">
        <v>0</v>
      </c>
      <c r="M2078" t="b">
        <v>0</v>
      </c>
      <c r="N2078" t="inlineStr">
        <is>
          <t>ref</t>
        </is>
      </c>
      <c r="O2078" t="n">
        <v>85</v>
      </c>
      <c r="P2078" t="n">
        <v>0.007404</v>
      </c>
      <c r="Q2078" t="n">
        <v>-100</v>
      </c>
      <c r="R2078" t="n">
        <v>0.06370000000000001</v>
      </c>
      <c r="S2078">
        <f>IMAGE("https://mitra.stanford.edu/kundaje/oak/projects/neuro-variants/variant_position/credible/roussos_2024/variant_figures/roussos_2024.childhood.Astrocyte/rs4665386_count_position.png",4,220,900)</f>
        <v/>
      </c>
      <c r="T2078">
        <f>IMAGE("https://mitra.stanford.edu/kundaje/oak/projects/neuro-variants/variant_position/credible/roussos_2024/variant_figures/roussos_2024.childhood.Astrocyte/rs4665386_profile_position.png",4,220,900)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-0.0362445684</v>
      </c>
      <c r="G2079" t="n">
        <v>0.3319366767787612</v>
      </c>
      <c r="H2079" t="n">
        <v>0.0177721400844313</v>
      </c>
      <c r="I2079" t="n">
        <v>0.1840828604137993</v>
      </c>
      <c r="J2079" t="n">
        <v>0.0552540587575278</v>
      </c>
      <c r="K2079" t="n">
        <v>0.434651092514973</v>
      </c>
      <c r="L2079" t="b">
        <v>0</v>
      </c>
      <c r="M2079" t="b">
        <v>0</v>
      </c>
      <c r="N2079" t="inlineStr">
        <is>
          <t>ref</t>
        </is>
      </c>
      <c r="O2079" t="n">
        <v>25</v>
      </c>
      <c r="P2079" t="n">
        <v>0.007965</v>
      </c>
      <c r="Q2079" t="n">
        <v>-65</v>
      </c>
      <c r="R2079" t="n">
        <v>0.1376</v>
      </c>
      <c r="S2079">
        <f>IMAGE("https://mitra.stanford.edu/kundaje/oak/projects/neuro-variants/variant_position/credible/roussos_2024/variant_figures/roussos_2024.childhood.Astrocyte/rs4666013_count_position.png",4,220,900)</f>
        <v/>
      </c>
      <c r="T2079">
        <f>IMAGE("https://mitra.stanford.edu/kundaje/oak/projects/neuro-variants/variant_position/credible/roussos_2024/variant_figures/roussos_2024.childhood.Astrocyte/rs4666013_profile_position.png",4,220,900)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-0.00941267061</v>
      </c>
      <c r="G2080" t="n">
        <v>0.738626166678797</v>
      </c>
      <c r="H2080" t="n">
        <v>0.0076589836012005</v>
      </c>
      <c r="I2080" t="n">
        <v>0.9295178802509412</v>
      </c>
      <c r="J2080" t="n">
        <v>0.0453878622732095</v>
      </c>
      <c r="K2080" t="n">
        <v>0.4710989876210446</v>
      </c>
      <c r="L2080" t="b">
        <v>0</v>
      </c>
      <c r="M2080" t="b">
        <v>0</v>
      </c>
      <c r="N2080" t="inlineStr">
        <is>
          <t>ref</t>
        </is>
      </c>
      <c r="O2080" t="n">
        <v>-85</v>
      </c>
      <c r="P2080" t="n">
        <v>0.002953</v>
      </c>
      <c r="Q2080" t="n">
        <v>-5</v>
      </c>
      <c r="R2080" t="n">
        <v>0.0431</v>
      </c>
      <c r="S2080">
        <f>IMAGE("https://mitra.stanford.edu/kundaje/oak/projects/neuro-variants/variant_position/credible/roussos_2024/variant_figures/roussos_2024.childhood.Astrocyte/rs4666015_count_position.png",4,220,900)</f>
        <v/>
      </c>
      <c r="T2080">
        <f>IMAGE("https://mitra.stanford.edu/kundaje/oak/projects/neuro-variants/variant_position/credible/roussos_2024/variant_figures/roussos_2024.childhood.Astrocyte/rs4666015_profile_position.png",4,220,900)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-0.1390990708</v>
      </c>
      <c r="G2081" t="n">
        <v>0.0469710632503313</v>
      </c>
      <c r="H2081" t="n">
        <v>0.021443818566258</v>
      </c>
      <c r="I2081" t="n">
        <v>0.1212831946411715</v>
      </c>
      <c r="J2081" t="n">
        <v>0.3623777793043438</v>
      </c>
      <c r="K2081" t="n">
        <v>0.1031213557629289</v>
      </c>
      <c r="L2081" t="b">
        <v>0</v>
      </c>
      <c r="M2081" t="b">
        <v>0</v>
      </c>
      <c r="N2081" t="inlineStr">
        <is>
          <t>ref</t>
        </is>
      </c>
      <c r="O2081" t="n">
        <v>-70</v>
      </c>
      <c r="P2081" t="n">
        <v>0.01093</v>
      </c>
      <c r="Q2081" t="n">
        <v>45</v>
      </c>
      <c r="R2081" t="n">
        <v>0.09644</v>
      </c>
      <c r="S2081">
        <f>IMAGE("https://mitra.stanford.edu/kundaje/oak/projects/neuro-variants/variant_position/credible/roussos_2024/variant_figures/roussos_2024.childhood.Astrocyte/rs7570730_count_position.png",4,220,900)</f>
        <v/>
      </c>
      <c r="T2081">
        <f>IMAGE("https://mitra.stanford.edu/kundaje/oak/projects/neuro-variants/variant_position/credible/roussos_2024/variant_figures/roussos_2024.childhood.Astrocyte/rs7570730_profile_position.png",4,220,900)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-0.228836706</v>
      </c>
      <c r="G2082" t="n">
        <v>0.0130240435524154</v>
      </c>
      <c r="H2082" t="n">
        <v>0.024196252400533</v>
      </c>
      <c r="I2082" t="n">
        <v>0.0671881182631065</v>
      </c>
      <c r="J2082" t="n">
        <v>0.1228229259691785</v>
      </c>
      <c r="K2082" t="n">
        <v>0.2876957312131327</v>
      </c>
      <c r="L2082" t="b">
        <v>1</v>
      </c>
      <c r="M2082" t="b">
        <v>0</v>
      </c>
      <c r="N2082" t="inlineStr">
        <is>
          <t>ref</t>
        </is>
      </c>
      <c r="O2082" t="n">
        <v>-75</v>
      </c>
      <c r="P2082" t="n">
        <v>0.0521</v>
      </c>
      <c r="Q2082" t="n">
        <v>-75</v>
      </c>
      <c r="R2082" t="n">
        <v>0.1372</v>
      </c>
      <c r="S2082">
        <f>IMAGE("https://mitra.stanford.edu/kundaje/oak/projects/neuro-variants/variant_position/credible/roussos_2024/variant_figures/roussos_2024.childhood.Astrocyte/rs11891769_count_position.png",4,220,900)</f>
        <v/>
      </c>
      <c r="T2082">
        <f>IMAGE("https://mitra.stanford.edu/kundaje/oak/projects/neuro-variants/variant_position/credible/roussos_2024/variant_figures/roussos_2024.childhood.Astrocyte/rs11891769_profile_position.png",4,220,900)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-0.0820676316</v>
      </c>
      <c r="G2083" t="n">
        <v>0.1042000226097845</v>
      </c>
      <c r="H2083" t="n">
        <v>0.0205336858558207</v>
      </c>
      <c r="I2083" t="n">
        <v>0.1164364700643078</v>
      </c>
      <c r="J2083" t="n">
        <v>0.1834543136940608</v>
      </c>
      <c r="K2083" t="n">
        <v>0.2294724048133364</v>
      </c>
      <c r="L2083" t="b">
        <v>0</v>
      </c>
      <c r="M2083" t="b">
        <v>0</v>
      </c>
      <c r="N2083" t="inlineStr">
        <is>
          <t>ref</t>
        </is>
      </c>
      <c r="O2083" t="n">
        <v>100</v>
      </c>
      <c r="P2083" t="n">
        <v>0.015015</v>
      </c>
      <c r="Q2083" t="n">
        <v>-10</v>
      </c>
      <c r="R2083" t="n">
        <v>0.0781</v>
      </c>
      <c r="S2083">
        <f>IMAGE("https://mitra.stanford.edu/kundaje/oak/projects/neuro-variants/variant_position/credible/roussos_2024/variant_figures/roussos_2024.childhood.Astrocyte/rs12986980_count_position.png",4,220,900)</f>
        <v/>
      </c>
      <c r="T2083">
        <f>IMAGE("https://mitra.stanford.edu/kundaje/oak/projects/neuro-variants/variant_position/credible/roussos_2024/variant_figures/roussos_2024.childhood.Astrocyte/rs12986980_profile_position.png",4,220,900)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-0.06556027342</v>
      </c>
      <c r="G2084" t="n">
        <v>0.1568014878567006</v>
      </c>
      <c r="H2084" t="n">
        <v>0.0164614027474891</v>
      </c>
      <c r="I2084" t="n">
        <v>0.2430916268152297</v>
      </c>
      <c r="J2084" t="n">
        <v>0.1356773755276193</v>
      </c>
      <c r="K2084" t="n">
        <v>0.2697432563651649</v>
      </c>
      <c r="L2084" t="b">
        <v>0</v>
      </c>
      <c r="M2084" t="b">
        <v>0</v>
      </c>
      <c r="N2084" t="inlineStr">
        <is>
          <t>ref</t>
        </is>
      </c>
      <c r="O2084" t="n">
        <v>85</v>
      </c>
      <c r="P2084" t="n">
        <v>0.00712</v>
      </c>
      <c r="Q2084" t="n">
        <v>-100</v>
      </c>
      <c r="R2084" t="n">
        <v>0.0665</v>
      </c>
      <c r="S2084">
        <f>IMAGE("https://mitra.stanford.edu/kundaje/oak/projects/neuro-variants/variant_position/credible/roussos_2024/variant_figures/roussos_2024.childhood.Astrocyte/rs4233716_count_position.png",4,220,900)</f>
        <v/>
      </c>
      <c r="T2084">
        <f>IMAGE("https://mitra.stanford.edu/kundaje/oak/projects/neuro-variants/variant_position/credible/roussos_2024/variant_figures/roussos_2024.childhood.Astrocyte/rs4233716_profile_position.png",4,220,900)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-0.0744220768</v>
      </c>
      <c r="G2085" t="n">
        <v>0.1201870467821685</v>
      </c>
      <c r="H2085" t="n">
        <v>0.0106902959756167</v>
      </c>
      <c r="I2085" t="n">
        <v>0.6428533783218122</v>
      </c>
      <c r="J2085" t="n">
        <v>0.0379260073427827</v>
      </c>
      <c r="K2085" t="n">
        <v>0.5253802418076022</v>
      </c>
      <c r="L2085" t="b">
        <v>0</v>
      </c>
      <c r="M2085" t="b">
        <v>0</v>
      </c>
      <c r="N2085" t="inlineStr">
        <is>
          <t>ref</t>
        </is>
      </c>
      <c r="O2085" t="n">
        <v>100</v>
      </c>
      <c r="P2085" t="n">
        <v>0.0166</v>
      </c>
      <c r="Q2085" t="n">
        <v>60</v>
      </c>
      <c r="R2085" t="n">
        <v>0.09045</v>
      </c>
      <c r="S2085">
        <f>IMAGE("https://mitra.stanford.edu/kundaje/oak/projects/neuro-variants/variant_position/credible/roussos_2024/variant_figures/roussos_2024.childhood.Astrocyte/rs12617171_count_position.png",4,220,900)</f>
        <v/>
      </c>
      <c r="T2085">
        <f>IMAGE("https://mitra.stanford.edu/kundaje/oak/projects/neuro-variants/variant_position/credible/roussos_2024/variant_figures/roussos_2024.childhood.Astrocyte/rs12617171_profile_position.png",4,220,900)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-0.0257660864</v>
      </c>
      <c r="G2086" t="n">
        <v>0.444547049345503</v>
      </c>
      <c r="H2086" t="n">
        <v>0.0119445077951783</v>
      </c>
      <c r="I2086" t="n">
        <v>0.5254379156908519</v>
      </c>
      <c r="J2086" t="n">
        <v>0.0112866662086968</v>
      </c>
      <c r="K2086" t="n">
        <v>0.6875117973591889</v>
      </c>
      <c r="L2086" t="b">
        <v>0</v>
      </c>
      <c r="M2086" t="b">
        <v>0</v>
      </c>
      <c r="N2086" t="inlineStr">
        <is>
          <t>ref</t>
        </is>
      </c>
      <c r="O2086" t="n">
        <v>-15</v>
      </c>
      <c r="P2086" t="n">
        <v>0.001404</v>
      </c>
      <c r="Q2086" t="n">
        <v>-50</v>
      </c>
      <c r="R2086" t="n">
        <v>0.04657</v>
      </c>
      <c r="S2086">
        <f>IMAGE("https://mitra.stanford.edu/kundaje/oak/projects/neuro-variants/variant_position/credible/roussos_2024/variant_figures/roussos_2024.childhood.Astrocyte/rs12464988_count_position.png",4,220,900)</f>
        <v/>
      </c>
      <c r="T2086">
        <f>IMAGE("https://mitra.stanford.edu/kundaje/oak/projects/neuro-variants/variant_position/credible/roussos_2024/variant_figures/roussos_2024.childhood.Astrocyte/rs12464988_profile_position.png",4,220,900)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-0.0130117616</v>
      </c>
      <c r="G2087" t="n">
        <v>0.675458593919212</v>
      </c>
      <c r="H2087" t="n">
        <v>0.017396603793508</v>
      </c>
      <c r="I2087" t="n">
        <v>0.1981779791856934</v>
      </c>
      <c r="J2087" t="n">
        <v>0.0208429697816246</v>
      </c>
      <c r="K2087" t="n">
        <v>0.5889222433766256</v>
      </c>
      <c r="L2087" t="b">
        <v>0</v>
      </c>
      <c r="M2087" t="b">
        <v>0</v>
      </c>
      <c r="N2087" t="inlineStr">
        <is>
          <t>ref</t>
        </is>
      </c>
      <c r="O2087" t="n">
        <v>-5</v>
      </c>
      <c r="P2087" t="n">
        <v>0.001892</v>
      </c>
      <c r="Q2087" t="n">
        <v>100</v>
      </c>
      <c r="R2087" t="n">
        <v>0.1603</v>
      </c>
      <c r="S2087">
        <f>IMAGE("https://mitra.stanford.edu/kundaje/oak/projects/neuro-variants/variant_position/credible/roussos_2024/variant_figures/roussos_2024.childhood.Astrocyte/rs4233719_count_position.png",4,220,900)</f>
        <v/>
      </c>
      <c r="T2087">
        <f>IMAGE("https://mitra.stanford.edu/kundaje/oak/projects/neuro-variants/variant_position/credible/roussos_2024/variant_figures/roussos_2024.childhood.Astrocyte/rs4233719_profile_position.png",4,220,900)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0.0095621953</v>
      </c>
      <c r="G2088" t="n">
        <v>0.7013306564256234</v>
      </c>
      <c r="H2088" t="n">
        <v>0.0093966478352211</v>
      </c>
      <c r="I2088" t="n">
        <v>0.766130071014932</v>
      </c>
      <c r="J2088" t="n">
        <v>0.0140398281086609</v>
      </c>
      <c r="K2088" t="n">
        <v>0.6513859484142374</v>
      </c>
      <c r="L2088" t="b">
        <v>0</v>
      </c>
      <c r="M2088" t="b">
        <v>0</v>
      </c>
      <c r="N2088" t="inlineStr">
        <is>
          <t>alt</t>
        </is>
      </c>
      <c r="O2088" t="n">
        <v>-100</v>
      </c>
      <c r="P2088" t="n">
        <v>0.01468</v>
      </c>
      <c r="Q2088" t="n">
        <v>-100</v>
      </c>
      <c r="R2088" t="n">
        <v>0.0863</v>
      </c>
      <c r="S2088">
        <f>IMAGE("https://mitra.stanford.edu/kundaje/oak/projects/neuro-variants/variant_position/credible/roussos_2024/variant_figures/roussos_2024.childhood.Astrocyte/rs12466717_count_position.png",4,220,900)</f>
        <v/>
      </c>
      <c r="T2088">
        <f>IMAGE("https://mitra.stanford.edu/kundaje/oak/projects/neuro-variants/variant_position/credible/roussos_2024/variant_figures/roussos_2024.childhood.Astrocyte/rs12466717_profile_position.png",4,220,900)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-0.00823434418</v>
      </c>
      <c r="G2089" t="n">
        <v>0.7810250601797205</v>
      </c>
      <c r="H2089" t="n">
        <v>0.008899915649129</v>
      </c>
      <c r="I2089" t="n">
        <v>0.8243821404452822</v>
      </c>
      <c r="J2089" t="n">
        <v>0.0173517131887674</v>
      </c>
      <c r="K2089" t="n">
        <v>0.6263902509995811</v>
      </c>
      <c r="L2089" t="b">
        <v>0</v>
      </c>
      <c r="M2089" t="b">
        <v>0</v>
      </c>
      <c r="N2089" t="inlineStr">
        <is>
          <t>ref</t>
        </is>
      </c>
      <c r="O2089" t="n">
        <v>15</v>
      </c>
      <c r="P2089" t="n">
        <v>0.004387</v>
      </c>
      <c r="Q2089" t="n">
        <v>-85</v>
      </c>
      <c r="R2089" t="n">
        <v>0.1041</v>
      </c>
      <c r="S2089">
        <f>IMAGE("https://mitra.stanford.edu/kundaje/oak/projects/neuro-variants/variant_position/credible/roussos_2024/variant_figures/roussos_2024.childhood.Astrocyte/rs6547814_count_position.png",4,220,900)</f>
        <v/>
      </c>
      <c r="T2089">
        <f>IMAGE("https://mitra.stanford.edu/kundaje/oak/projects/neuro-variants/variant_position/credible/roussos_2024/variant_figures/roussos_2024.childhood.Astrocyte/rs6547814_profile_position.png",4,220,900)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-0.117109432</v>
      </c>
      <c r="G2090" t="n">
        <v>0.0561361915999978</v>
      </c>
      <c r="H2090" t="n">
        <v>0.0279404680842202</v>
      </c>
      <c r="I2090" t="n">
        <v>0.0392748444225376</v>
      </c>
      <c r="J2090" t="n">
        <v>0.0459213971132635</v>
      </c>
      <c r="K2090" t="n">
        <v>0.4657115087360161</v>
      </c>
      <c r="L2090" t="b">
        <v>0</v>
      </c>
      <c r="M2090" t="b">
        <v>0</v>
      </c>
      <c r="N2090" t="inlineStr">
        <is>
          <t>ref</t>
        </is>
      </c>
      <c r="O2090" t="n">
        <v>90</v>
      </c>
      <c r="P2090" t="n">
        <v>0.004143</v>
      </c>
      <c r="Q2090" t="n">
        <v>-85</v>
      </c>
      <c r="R2090" t="n">
        <v>0.04886</v>
      </c>
      <c r="S2090">
        <f>IMAGE("https://mitra.stanford.edu/kundaje/oak/projects/neuro-variants/variant_position/credible/roussos_2024/variant_figures/roussos_2024.childhood.Astrocyte/rs10177845_count_position.png",4,220,900)</f>
        <v/>
      </c>
      <c r="T2090">
        <f>IMAGE("https://mitra.stanford.edu/kundaje/oak/projects/neuro-variants/variant_position/credible/roussos_2024/variant_figures/roussos_2024.childhood.Astrocyte/rs10177845_profile_position.png",4,220,900)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0.0049023769799999</v>
      </c>
      <c r="G2091" t="n">
        <v>0.7934958265117203</v>
      </c>
      <c r="H2091" t="n">
        <v>0.0290709786712114</v>
      </c>
      <c r="I2091" t="n">
        <v>0.0340165946878901</v>
      </c>
      <c r="J2091" t="n">
        <v>0.004031660980208</v>
      </c>
      <c r="K2091" t="n">
        <v>0.8094664068095213</v>
      </c>
      <c r="L2091" t="b">
        <v>0</v>
      </c>
      <c r="M2091" t="b">
        <v>0</v>
      </c>
      <c r="N2091" t="inlineStr">
        <is>
          <t>alt</t>
        </is>
      </c>
      <c r="O2091" t="n">
        <v>55</v>
      </c>
      <c r="P2091" t="n">
        <v>0.003252</v>
      </c>
      <c r="Q2091" t="n">
        <v>-30</v>
      </c>
      <c r="R2091" t="n">
        <v>0.0785</v>
      </c>
      <c r="S2091">
        <f>IMAGE("https://mitra.stanford.edu/kundaje/oak/projects/neuro-variants/variant_position/credible/roussos_2024/variant_figures/roussos_2024.childhood.Astrocyte/rs1458396_count_position.png",4,220,900)</f>
        <v/>
      </c>
      <c r="T2091">
        <f>IMAGE("https://mitra.stanford.edu/kundaje/oak/projects/neuro-variants/variant_position/credible/roussos_2024/variant_figures/roussos_2024.childhood.Astrocyte/rs1458396_profile_position.png",4,220,900)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-0.0336691666</v>
      </c>
      <c r="G2092" t="n">
        <v>0.3501839338623089</v>
      </c>
      <c r="H2092" t="n">
        <v>0.0546693948237098</v>
      </c>
      <c r="I2092" t="n">
        <v>0.0029645262887647</v>
      </c>
      <c r="J2092" t="n">
        <v>0.001767000221352</v>
      </c>
      <c r="K2092" t="n">
        <v>0.8706026673869183</v>
      </c>
      <c r="L2092" t="b">
        <v>0</v>
      </c>
      <c r="M2092" t="b">
        <v>0</v>
      </c>
      <c r="N2092" t="inlineStr">
        <is>
          <t>ref</t>
        </is>
      </c>
      <c r="O2092" t="n">
        <v>25</v>
      </c>
      <c r="P2092" t="n">
        <v>0.001343</v>
      </c>
      <c r="Q2092" t="n">
        <v>90</v>
      </c>
      <c r="R2092" t="n">
        <v>0.1318</v>
      </c>
      <c r="S2092">
        <f>IMAGE("https://mitra.stanford.edu/kundaje/oak/projects/neuro-variants/variant_position/credible/roussos_2024/variant_figures/roussos_2024.childhood.Astrocyte/rs13012050_count_position.png",4,220,900)</f>
        <v/>
      </c>
      <c r="T2092">
        <f>IMAGE("https://mitra.stanford.edu/kundaje/oak/projects/neuro-variants/variant_position/credible/roussos_2024/variant_figures/roussos_2024.childhood.Astrocyte/rs13012050_profile_position.png",4,220,900)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0.0753127834</v>
      </c>
      <c r="G2093" t="n">
        <v>0.1268180826681836</v>
      </c>
      <c r="H2093" t="n">
        <v>0.0121615967312224</v>
      </c>
      <c r="I2093" t="n">
        <v>0.496069014707894</v>
      </c>
      <c r="J2093" t="n">
        <v>0.0001328112477387</v>
      </c>
      <c r="K2093" t="n">
        <v>0.9833128161435614</v>
      </c>
      <c r="L2093" t="b">
        <v>0</v>
      </c>
      <c r="M2093" t="b">
        <v>0</v>
      </c>
      <c r="N2093" t="inlineStr">
        <is>
          <t>alt</t>
        </is>
      </c>
      <c r="O2093" t="n">
        <v>100</v>
      </c>
      <c r="P2093" t="n">
        <v>0.1515</v>
      </c>
      <c r="Q2093" t="n">
        <v>95</v>
      </c>
      <c r="R2093" t="n">
        <v>0.08014</v>
      </c>
      <c r="S2093">
        <f>IMAGE("https://mitra.stanford.edu/kundaje/oak/projects/neuro-variants/variant_position/credible/roussos_2024/variant_figures/roussos_2024.childhood.Astrocyte/rs10184052_count_position.png",4,220,900)</f>
        <v/>
      </c>
      <c r="T2093">
        <f>IMAGE("https://mitra.stanford.edu/kundaje/oak/projects/neuro-variants/variant_position/credible/roussos_2024/variant_figures/roussos_2024.childhood.Astrocyte/rs10184052_profile_position.png",4,220,900)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-0.0011106083526</v>
      </c>
      <c r="G2094" t="n">
        <v>0.9122993364697968</v>
      </c>
      <c r="H2094" t="n">
        <v>0.0066364524436168</v>
      </c>
      <c r="I2094" t="n">
        <v>0.9718182763158444</v>
      </c>
      <c r="J2094" t="n">
        <v>0.002963064734034</v>
      </c>
      <c r="K2094" t="n">
        <v>0.8490331850792935</v>
      </c>
      <c r="L2094" t="b">
        <v>0</v>
      </c>
      <c r="M2094" t="b">
        <v>0</v>
      </c>
      <c r="N2094" t="inlineStr">
        <is>
          <t>ref</t>
        </is>
      </c>
      <c r="O2094" t="n">
        <v>-70</v>
      </c>
      <c r="P2094" t="n">
        <v>0.00882</v>
      </c>
      <c r="Q2094" t="n">
        <v>-35</v>
      </c>
      <c r="R2094" t="n">
        <v>0.06370000000000001</v>
      </c>
      <c r="S2094">
        <f>IMAGE("https://mitra.stanford.edu/kundaje/oak/projects/neuro-variants/variant_position/credible/roussos_2024/variant_figures/roussos_2024.childhood.Astrocyte/rs4616436_count_position.png",4,220,900)</f>
        <v/>
      </c>
      <c r="T2094">
        <f>IMAGE("https://mitra.stanford.edu/kundaje/oak/projects/neuro-variants/variant_position/credible/roussos_2024/variant_figures/roussos_2024.childhood.Astrocyte/rs4616436_profile_position.png",4,220,900)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-0.0554049591999999</v>
      </c>
      <c r="G2095" t="n">
        <v>0.1898321236791869</v>
      </c>
      <c r="H2095" t="n">
        <v>0.0107146249298071</v>
      </c>
      <c r="I2095" t="n">
        <v>0.622747010252878</v>
      </c>
      <c r="J2095" t="n">
        <v>0.005800187767626</v>
      </c>
      <c r="K2095" t="n">
        <v>0.7556720118616801</v>
      </c>
      <c r="L2095" t="b">
        <v>0</v>
      </c>
      <c r="M2095" t="b">
        <v>0</v>
      </c>
      <c r="N2095" t="inlineStr">
        <is>
          <t>ref</t>
        </is>
      </c>
      <c r="O2095" t="n">
        <v>-100</v>
      </c>
      <c r="P2095" t="n">
        <v>0.00507</v>
      </c>
      <c r="Q2095" t="n">
        <v>-40</v>
      </c>
      <c r="R2095" t="n">
        <v>0.02856</v>
      </c>
      <c r="S2095">
        <f>IMAGE("https://mitra.stanford.edu/kundaje/oak/projects/neuro-variants/variant_position/credible/roussos_2024/variant_figures/roussos_2024.childhood.Astrocyte/rs6712162_count_position.png",4,220,900)</f>
        <v/>
      </c>
      <c r="T2095">
        <f>IMAGE("https://mitra.stanford.edu/kundaje/oak/projects/neuro-variants/variant_position/credible/roussos_2024/variant_figures/roussos_2024.childhood.Astrocyte/rs6712162_profile_position.png",4,220,900)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-0.1666367799999999</v>
      </c>
      <c r="G2096" t="n">
        <v>0.0269011896581812</v>
      </c>
      <c r="H2096" t="n">
        <v>0.042609861868764</v>
      </c>
      <c r="I2096" t="n">
        <v>0.009585644010862799</v>
      </c>
      <c r="J2096" t="n">
        <v>0.1499675604710982</v>
      </c>
      <c r="K2096" t="n">
        <v>0.2516762229404247</v>
      </c>
      <c r="L2096" t="b">
        <v>1</v>
      </c>
      <c r="M2096" t="b">
        <v>1</v>
      </c>
      <c r="N2096" t="inlineStr">
        <is>
          <t>ref</t>
        </is>
      </c>
      <c r="O2096" t="n">
        <v>100</v>
      </c>
      <c r="P2096" t="n">
        <v>0.01123</v>
      </c>
      <c r="Q2096" t="n">
        <v>100</v>
      </c>
      <c r="R2096" t="n">
        <v>0.2222</v>
      </c>
      <c r="S2096">
        <f>IMAGE("https://mitra.stanford.edu/kundaje/oak/projects/neuro-variants/variant_position/credible/roussos_2024/variant_figures/roussos_2024.childhood.Astrocyte/rs1123648_count_position.png",4,220,900)</f>
        <v/>
      </c>
      <c r="T2096">
        <f>IMAGE("https://mitra.stanford.edu/kundaje/oak/projects/neuro-variants/variant_position/credible/roussos_2024/variant_figures/roussos_2024.childhood.Astrocyte/rs1123648_profile_position.png",4,220,900)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-0.0423794931999999</v>
      </c>
      <c r="G2097" t="n">
        <v>0.2735919482911026</v>
      </c>
      <c r="H2097" t="n">
        <v>0.0106087694149706</v>
      </c>
      <c r="I2097" t="n">
        <v>0.6347561730889321</v>
      </c>
      <c r="J2097" t="n">
        <v>0.0088869043530031</v>
      </c>
      <c r="K2097" t="n">
        <v>0.7020037598897392</v>
      </c>
      <c r="L2097" t="b">
        <v>0</v>
      </c>
      <c r="M2097" t="b">
        <v>0</v>
      </c>
      <c r="N2097" t="inlineStr">
        <is>
          <t>ref</t>
        </is>
      </c>
      <c r="O2097" t="n">
        <v>100</v>
      </c>
      <c r="P2097" t="n">
        <v>0.010315</v>
      </c>
      <c r="Q2097" t="n">
        <v>30</v>
      </c>
      <c r="R2097" t="n">
        <v>0.0351</v>
      </c>
      <c r="S2097">
        <f>IMAGE("https://mitra.stanford.edu/kundaje/oak/projects/neuro-variants/variant_position/credible/roussos_2024/variant_figures/roussos_2024.childhood.Astrocyte/rs6753260_count_position.png",4,220,900)</f>
        <v/>
      </c>
      <c r="T2097">
        <f>IMAGE("https://mitra.stanford.edu/kundaje/oak/projects/neuro-variants/variant_position/credible/roussos_2024/variant_figures/roussos_2024.childhood.Astrocyte/rs6753260_profile_position.png",4,220,900)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-0.0206554972</v>
      </c>
      <c r="G2098" t="n">
        <v>0.5181990240027999</v>
      </c>
      <c r="H2098" t="n">
        <v>0.0353874276970741</v>
      </c>
      <c r="I2098" t="n">
        <v>0.0160216349595834</v>
      </c>
      <c r="J2098" t="n">
        <v>0.3060566508667078</v>
      </c>
      <c r="K2098" t="n">
        <v>0.1283749712945447</v>
      </c>
      <c r="L2098" t="b">
        <v>1</v>
      </c>
      <c r="M2098" t="b">
        <v>0</v>
      </c>
      <c r="N2098" t="inlineStr">
        <is>
          <t>ref</t>
        </is>
      </c>
      <c r="O2098" t="n">
        <v>-70</v>
      </c>
      <c r="P2098" t="n">
        <v>0.01514</v>
      </c>
      <c r="Q2098" t="n">
        <v>-70</v>
      </c>
      <c r="R2098" t="n">
        <v>0.2578</v>
      </c>
      <c r="S2098">
        <f>IMAGE("https://mitra.stanford.edu/kundaje/oak/projects/neuro-variants/variant_position/credible/roussos_2024/variant_figures/roussos_2024.childhood.Astrocyte/rs17020136_count_position.png",4,220,900)</f>
        <v/>
      </c>
      <c r="T2098">
        <f>IMAGE("https://mitra.stanford.edu/kundaje/oak/projects/neuro-variants/variant_position/credible/roussos_2024/variant_figures/roussos_2024.childhood.Astrocyte/rs17020136_profile_position.png",4,220,900)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-0.1490181312</v>
      </c>
      <c r="G2099" t="n">
        <v>0.0333102070795708</v>
      </c>
      <c r="H2099" t="n">
        <v>0.0335560768777874</v>
      </c>
      <c r="I2099" t="n">
        <v>0.0197269156831522</v>
      </c>
      <c r="J2099" t="n">
        <v>0.0096540038011494</v>
      </c>
      <c r="K2099" t="n">
        <v>0.6999419876082066</v>
      </c>
      <c r="L2099" t="b">
        <v>0</v>
      </c>
      <c r="M2099" t="b">
        <v>0</v>
      </c>
      <c r="N2099" t="inlineStr">
        <is>
          <t>ref</t>
        </is>
      </c>
      <c r="O2099" t="n">
        <v>-75</v>
      </c>
      <c r="P2099" t="n">
        <v>0.02223</v>
      </c>
      <c r="Q2099" t="n">
        <v>-75</v>
      </c>
      <c r="R2099" t="n">
        <v>0.11816</v>
      </c>
      <c r="S2099">
        <f>IMAGE("https://mitra.stanford.edu/kundaje/oak/projects/neuro-variants/variant_position/credible/roussos_2024/variant_figures/roussos_2024.childhood.Astrocyte/rs28463756_count_position.png",4,220,900)</f>
        <v/>
      </c>
      <c r="T2099">
        <f>IMAGE("https://mitra.stanford.edu/kundaje/oak/projects/neuro-variants/variant_position/credible/roussos_2024/variant_figures/roussos_2024.childhood.Astrocyte/rs28463756_profile_position.png",4,220,900)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-0.00349942244</v>
      </c>
      <c r="G2100" t="n">
        <v>0.7417610550343117</v>
      </c>
      <c r="H2100" t="n">
        <v>0.0083966052949249</v>
      </c>
      <c r="I2100" t="n">
        <v>0.8765075597905869</v>
      </c>
      <c r="J2100" t="n">
        <v>0.0448008976208467</v>
      </c>
      <c r="K2100" t="n">
        <v>0.4691957686425996</v>
      </c>
      <c r="L2100" t="b">
        <v>0</v>
      </c>
      <c r="M2100" t="b">
        <v>0</v>
      </c>
      <c r="N2100" t="inlineStr">
        <is>
          <t>ref</t>
        </is>
      </c>
      <c r="O2100" t="n">
        <v>95</v>
      </c>
      <c r="P2100" t="n">
        <v>0.02023</v>
      </c>
      <c r="Q2100" t="n">
        <v>100</v>
      </c>
      <c r="R2100" t="n">
        <v>0.2754</v>
      </c>
      <c r="S2100">
        <f>IMAGE("https://mitra.stanford.edu/kundaje/oak/projects/neuro-variants/variant_position/credible/roussos_2024/variant_figures/roussos_2024.childhood.Astrocyte/rs4374352_count_position.png",4,220,900)</f>
        <v/>
      </c>
      <c r="T2100">
        <f>IMAGE("https://mitra.stanford.edu/kundaje/oak/projects/neuro-variants/variant_position/credible/roussos_2024/variant_figures/roussos_2024.childhood.Astrocyte/rs4374352_profile_position.png",4,220,900)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-0.0538136642</v>
      </c>
      <c r="G2101" t="n">
        <v>0.2200164893831525</v>
      </c>
      <c r="H2101" t="n">
        <v>0.0134085163436307</v>
      </c>
      <c r="I2101" t="n">
        <v>0.4051621342424309</v>
      </c>
      <c r="J2101" t="n">
        <v>0.026588964453909</v>
      </c>
      <c r="K2101" t="n">
        <v>0.5454050145833045</v>
      </c>
      <c r="L2101" t="b">
        <v>0</v>
      </c>
      <c r="M2101" t="b">
        <v>0</v>
      </c>
      <c r="N2101" t="inlineStr">
        <is>
          <t>ref</t>
        </is>
      </c>
      <c r="O2101" t="n">
        <v>35</v>
      </c>
      <c r="P2101" t="n">
        <v>0.007393</v>
      </c>
      <c r="Q2101" t="n">
        <v>-90</v>
      </c>
      <c r="R2101" t="n">
        <v>0.182</v>
      </c>
      <c r="S2101">
        <f>IMAGE("https://mitra.stanford.edu/kundaje/oak/projects/neuro-variants/variant_position/credible/roussos_2024/variant_figures/roussos_2024.childhood.Astrocyte/rs6750763_count_position.png",4,220,900)</f>
        <v/>
      </c>
      <c r="T2101">
        <f>IMAGE("https://mitra.stanford.edu/kundaje/oak/projects/neuro-variants/variant_position/credible/roussos_2024/variant_figures/roussos_2024.childhood.Astrocyte/rs6750763_profile_position.png",4,220,900)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0.0100118184999999</v>
      </c>
      <c r="G2102" t="n">
        <v>0.7216086197568583</v>
      </c>
      <c r="H2102" t="n">
        <v>0.0261715799383622</v>
      </c>
      <c r="I2102" t="n">
        <v>0.0496179132388995</v>
      </c>
      <c r="J2102" t="n">
        <v>0.0016944883332187</v>
      </c>
      <c r="K2102" t="n">
        <v>0.8725375361304194</v>
      </c>
      <c r="L2102" t="b">
        <v>0</v>
      </c>
      <c r="M2102" t="b">
        <v>0</v>
      </c>
      <c r="N2102" t="inlineStr">
        <is>
          <t>alt</t>
        </is>
      </c>
      <c r="O2102" t="n">
        <v>-15</v>
      </c>
      <c r="P2102" t="n">
        <v>0.006287</v>
      </c>
      <c r="Q2102" t="n">
        <v>-45</v>
      </c>
      <c r="R2102" t="n">
        <v>0.01563</v>
      </c>
      <c r="S2102">
        <f>IMAGE("https://mitra.stanford.edu/kundaje/oak/projects/neuro-variants/variant_position/credible/roussos_2024/variant_figures/roussos_2024.childhood.Astrocyte/rs11124565_count_position.png",4,220,900)</f>
        <v/>
      </c>
      <c r="T2102">
        <f>IMAGE("https://mitra.stanford.edu/kundaje/oak/projects/neuro-variants/variant_position/credible/roussos_2024/variant_figures/roussos_2024.childhood.Astrocyte/rs11124565_profile_position.png",4,220,900)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-0.01189574658</v>
      </c>
      <c r="G2103" t="n">
        <v>0.7112351204304681</v>
      </c>
      <c r="H2103" t="n">
        <v>0.0367245290531766</v>
      </c>
      <c r="I2103" t="n">
        <v>0.0136342933237222</v>
      </c>
      <c r="J2103" t="n">
        <v>0.0029287169975498</v>
      </c>
      <c r="K2103" t="n">
        <v>0.826231655868478</v>
      </c>
      <c r="L2103" t="b">
        <v>0</v>
      </c>
      <c r="M2103" t="b">
        <v>0</v>
      </c>
      <c r="N2103" t="inlineStr">
        <is>
          <t>ref</t>
        </is>
      </c>
      <c r="O2103" t="n">
        <v>85</v>
      </c>
      <c r="P2103" t="n">
        <v>0.0357</v>
      </c>
      <c r="Q2103" t="n">
        <v>-85</v>
      </c>
      <c r="R2103" t="n">
        <v>0.04602</v>
      </c>
      <c r="S2103">
        <f>IMAGE("https://mitra.stanford.edu/kundaje/oak/projects/neuro-variants/variant_position/credible/roussos_2024/variant_figures/roussos_2024.childhood.Astrocyte/rs4670673_count_position.png",4,220,900)</f>
        <v/>
      </c>
      <c r="T2103">
        <f>IMAGE("https://mitra.stanford.edu/kundaje/oak/projects/neuro-variants/variant_position/credible/roussos_2024/variant_figures/roussos_2024.childhood.Astrocyte/rs4670673_profile_position.png",4,220,900)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0.0883386462</v>
      </c>
      <c r="G2104" t="n">
        <v>0.0890609176048523</v>
      </c>
      <c r="H2104" t="n">
        <v>0.0115661245296057</v>
      </c>
      <c r="I2104" t="n">
        <v>0.543772762300175</v>
      </c>
      <c r="J2104" t="n">
        <v>0.0934678238037446</v>
      </c>
      <c r="K2104" t="n">
        <v>0.3399814552605547</v>
      </c>
      <c r="L2104" t="b">
        <v>0</v>
      </c>
      <c r="M2104" t="b">
        <v>0</v>
      </c>
      <c r="N2104" t="inlineStr">
        <is>
          <t>alt</t>
        </is>
      </c>
      <c r="O2104" t="n">
        <v>-85</v>
      </c>
      <c r="P2104" t="n">
        <v>0.0246</v>
      </c>
      <c r="Q2104" t="n">
        <v>100</v>
      </c>
      <c r="R2104" t="n">
        <v>0.08057</v>
      </c>
      <c r="S2104">
        <f>IMAGE("https://mitra.stanford.edu/kundaje/oak/projects/neuro-variants/variant_position/credible/roussos_2024/variant_figures/roussos_2024.childhood.Astrocyte/rs2287093_count_position.png",4,220,900)</f>
        <v/>
      </c>
      <c r="T2104">
        <f>IMAGE("https://mitra.stanford.edu/kundaje/oak/projects/neuro-variants/variant_position/credible/roussos_2024/variant_figures/roussos_2024.childhood.Astrocyte/rs2287093_profile_position.png",4,220,900)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0.08307297080000001</v>
      </c>
      <c r="G2105" t="n">
        <v>0.1074534506295653</v>
      </c>
      <c r="H2105" t="n">
        <v>0.0122407230559381</v>
      </c>
      <c r="I2105" t="n">
        <v>0.4730558748642036</v>
      </c>
      <c r="J2105" t="n">
        <v>0.0290413928388785</v>
      </c>
      <c r="K2105" t="n">
        <v>0.5325275683173391</v>
      </c>
      <c r="L2105" t="b">
        <v>0</v>
      </c>
      <c r="M2105" t="b">
        <v>0</v>
      </c>
      <c r="N2105" t="inlineStr">
        <is>
          <t>alt</t>
        </is>
      </c>
      <c r="O2105" t="n">
        <v>100</v>
      </c>
      <c r="P2105" t="n">
        <v>0.0335</v>
      </c>
      <c r="Q2105" t="n">
        <v>-20</v>
      </c>
      <c r="R2105" t="n">
        <v>0.0536</v>
      </c>
      <c r="S2105">
        <f>IMAGE("https://mitra.stanford.edu/kundaje/oak/projects/neuro-variants/variant_position/credible/roussos_2024/variant_figures/roussos_2024.childhood.Astrocyte/rs10182759_count_position.png",4,220,900)</f>
        <v/>
      </c>
      <c r="T2105">
        <f>IMAGE("https://mitra.stanford.edu/kundaje/oak/projects/neuro-variants/variant_position/credible/roussos_2024/variant_figures/roussos_2024.childhood.Astrocyte/rs10182759_profile_position.png",4,220,900)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0.007101272788</v>
      </c>
      <c r="G2106" t="n">
        <v>0.7815574929940639</v>
      </c>
      <c r="H2106" t="n">
        <v>0.0205401010672694</v>
      </c>
      <c r="I2106" t="n">
        <v>0.1165324619517737</v>
      </c>
      <c r="J2106" t="n">
        <v>0.1055681497255996</v>
      </c>
      <c r="K2106" t="n">
        <v>0.3176074874511351</v>
      </c>
      <c r="L2106" t="b">
        <v>0</v>
      </c>
      <c r="M2106" t="b">
        <v>0</v>
      </c>
      <c r="N2106" t="inlineStr">
        <is>
          <t>alt</t>
        </is>
      </c>
      <c r="O2106" t="n">
        <v>-40</v>
      </c>
      <c r="P2106" t="n">
        <v>0.0155</v>
      </c>
      <c r="Q2106" t="n">
        <v>-45</v>
      </c>
      <c r="R2106" t="n">
        <v>0.0708</v>
      </c>
      <c r="S2106">
        <f>IMAGE("https://mitra.stanford.edu/kundaje/oak/projects/neuro-variants/variant_position/credible/roussos_2024/variant_figures/roussos_2024.childhood.Astrocyte/rs2041836_count_position.png",4,220,900)</f>
        <v/>
      </c>
      <c r="T2106">
        <f>IMAGE("https://mitra.stanford.edu/kundaje/oak/projects/neuro-variants/variant_position/credible/roussos_2024/variant_figures/roussos_2024.childhood.Astrocyte/rs2041836_profile_position.png",4,220,900)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-0.118371107</v>
      </c>
      <c r="G2107" t="n">
        <v>0.0511470719652882</v>
      </c>
      <c r="H2107" t="n">
        <v>0.0183682264736467</v>
      </c>
      <c r="I2107" t="n">
        <v>0.1719470023139939</v>
      </c>
      <c r="J2107" t="n">
        <v>0.0111759901689144</v>
      </c>
      <c r="K2107" t="n">
        <v>0.6791124607778519</v>
      </c>
      <c r="L2107" t="b">
        <v>0</v>
      </c>
      <c r="M2107" t="b">
        <v>0</v>
      </c>
      <c r="N2107" t="inlineStr">
        <is>
          <t>ref</t>
        </is>
      </c>
      <c r="O2107" t="n">
        <v>100</v>
      </c>
      <c r="P2107" t="n">
        <v>0.02303</v>
      </c>
      <c r="Q2107" t="n">
        <v>95</v>
      </c>
      <c r="R2107" t="n">
        <v>0.1227</v>
      </c>
      <c r="S2107">
        <f>IMAGE("https://mitra.stanford.edu/kundaje/oak/projects/neuro-variants/variant_position/credible/roussos_2024/variant_figures/roussos_2024.childhood.Astrocyte/rs11682607_count_position.png",4,220,900)</f>
        <v/>
      </c>
      <c r="T2107">
        <f>IMAGE("https://mitra.stanford.edu/kundaje/oak/projects/neuro-variants/variant_position/credible/roussos_2024/variant_figures/roussos_2024.childhood.Astrocyte/rs11682607_profile_position.png",4,220,900)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-0.0249327994</v>
      </c>
      <c r="G2108" t="n">
        <v>0.4479514774840227</v>
      </c>
      <c r="H2108" t="n">
        <v>0.0417484014071197</v>
      </c>
      <c r="I2108" t="n">
        <v>0.0081072167321849</v>
      </c>
      <c r="J2108" t="n">
        <v>0.0055910482165891</v>
      </c>
      <c r="K2108" t="n">
        <v>0.7588568210315326</v>
      </c>
      <c r="L2108" t="b">
        <v>0</v>
      </c>
      <c r="M2108" t="b">
        <v>0</v>
      </c>
      <c r="N2108" t="inlineStr">
        <is>
          <t>ref</t>
        </is>
      </c>
      <c r="O2108" t="n">
        <v>95</v>
      </c>
      <c r="P2108" t="n">
        <v>0.00482</v>
      </c>
      <c r="Q2108" t="n">
        <v>-65</v>
      </c>
      <c r="R2108" t="n">
        <v>0.2374</v>
      </c>
      <c r="S2108">
        <f>IMAGE("https://mitra.stanford.edu/kundaje/oak/projects/neuro-variants/variant_position/credible/roussos_2024/variant_figures/roussos_2024.childhood.Astrocyte/rs11693917_count_position.png",4,220,900)</f>
        <v/>
      </c>
      <c r="T2108">
        <f>IMAGE("https://mitra.stanford.edu/kundaje/oak/projects/neuro-variants/variant_position/credible/roussos_2024/variant_figures/roussos_2024.childhood.Astrocyte/rs11693917_profile_position.png",4,220,900)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-0.01921835424</v>
      </c>
      <c r="G2109" t="n">
        <v>0.5525338965531671</v>
      </c>
      <c r="H2109" t="n">
        <v>0.0410451764254028</v>
      </c>
      <c r="I2109" t="n">
        <v>0.008660910447869499</v>
      </c>
      <c r="J2109" t="n">
        <v>0.0011105768129879</v>
      </c>
      <c r="K2109" t="n">
        <v>0.9102520354126128</v>
      </c>
      <c r="L2109" t="b">
        <v>0</v>
      </c>
      <c r="M2109" t="b">
        <v>0</v>
      </c>
      <c r="N2109" t="inlineStr">
        <is>
          <t>ref</t>
        </is>
      </c>
      <c r="O2109" t="n">
        <v>-75</v>
      </c>
      <c r="P2109" t="n">
        <v>0.0112</v>
      </c>
      <c r="Q2109" t="n">
        <v>-55</v>
      </c>
      <c r="R2109" t="n">
        <v>0.1654</v>
      </c>
      <c r="S2109">
        <f>IMAGE("https://mitra.stanford.edu/kundaje/oak/projects/neuro-variants/variant_position/credible/roussos_2024/variant_figures/roussos_2024.childhood.Astrocyte/rs74177070_count_position.png",4,220,900)</f>
        <v/>
      </c>
      <c r="T2109">
        <f>IMAGE("https://mitra.stanford.edu/kundaje/oak/projects/neuro-variants/variant_position/credible/roussos_2024/variant_figures/roussos_2024.childhood.Astrocyte/rs74177070_profile_position.png",4,220,900)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0.0243338364</v>
      </c>
      <c r="G2110" t="n">
        <v>0.4501371145906291</v>
      </c>
      <c r="H2110" t="n">
        <v>0.0241609933496508</v>
      </c>
      <c r="I2110" t="n">
        <v>0.0657213810821521</v>
      </c>
      <c r="J2110" t="n">
        <v>0.0055689130086326</v>
      </c>
      <c r="K2110" t="n">
        <v>0.7733794731236865</v>
      </c>
      <c r="L2110" t="b">
        <v>0</v>
      </c>
      <c r="M2110" t="b">
        <v>0</v>
      </c>
      <c r="N2110" t="inlineStr">
        <is>
          <t>alt</t>
        </is>
      </c>
      <c r="O2110" t="n">
        <v>-85</v>
      </c>
      <c r="P2110" t="n">
        <v>0.003616</v>
      </c>
      <c r="Q2110" t="n">
        <v>0</v>
      </c>
      <c r="R2110" t="n">
        <v>0</v>
      </c>
      <c r="S2110">
        <f>IMAGE("https://mitra.stanford.edu/kundaje/oak/projects/neuro-variants/variant_position/credible/roussos_2024/variant_figures/roussos_2024.childhood.Astrocyte/rs67986063_count_position.png",4,220,900)</f>
        <v/>
      </c>
      <c r="T2110">
        <f>IMAGE("https://mitra.stanford.edu/kundaje/oak/projects/neuro-variants/variant_position/credible/roussos_2024/variant_figures/roussos_2024.childhood.Astrocyte/rs67986063_profile_position.png",4,220,900)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-0.14823771</v>
      </c>
      <c r="G2111" t="n">
        <v>0.0345173209169814</v>
      </c>
      <c r="H2111" t="n">
        <v>0.0349184869688656</v>
      </c>
      <c r="I2111" t="n">
        <v>0.0170384700106893</v>
      </c>
      <c r="J2111" t="n">
        <v>0.0120400265622495</v>
      </c>
      <c r="K2111" t="n">
        <v>0.6629312167735468</v>
      </c>
      <c r="L2111" t="b">
        <v>1</v>
      </c>
      <c r="M2111" t="b">
        <v>0</v>
      </c>
      <c r="N2111" t="inlineStr">
        <is>
          <t>ref</t>
        </is>
      </c>
      <c r="O2111" t="n">
        <v>-5</v>
      </c>
      <c r="P2111" t="n">
        <v>0.002502</v>
      </c>
      <c r="Q2111" t="n">
        <v>5</v>
      </c>
      <c r="R2111" t="n">
        <v>0.009766</v>
      </c>
      <c r="S2111">
        <f>IMAGE("https://mitra.stanford.edu/kundaje/oak/projects/neuro-variants/variant_position/credible/roussos_2024/variant_figures/roussos_2024.childhood.Astrocyte/rs17504263_count_position.png",4,220,900)</f>
        <v/>
      </c>
      <c r="T2111">
        <f>IMAGE("https://mitra.stanford.edu/kundaje/oak/projects/neuro-variants/variant_position/credible/roussos_2024/variant_figures/roussos_2024.childhood.Astrocyte/rs17504263_profile_position.png",4,220,900)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-0.0179470236</v>
      </c>
      <c r="G2112" t="n">
        <v>0.5597262562412013</v>
      </c>
      <c r="H2112" t="n">
        <v>0.0253022610907026</v>
      </c>
      <c r="I2112" t="n">
        <v>0.0568208670514512</v>
      </c>
      <c r="J2112" t="n">
        <v>0.0008388480532465</v>
      </c>
      <c r="K2112" t="n">
        <v>0.9313384944234054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0.013535</v>
      </c>
      <c r="Q2112" t="n">
        <v>-100</v>
      </c>
      <c r="R2112" t="n">
        <v>0.1134</v>
      </c>
      <c r="S2112">
        <f>IMAGE("https://mitra.stanford.edu/kundaje/oak/projects/neuro-variants/variant_position/credible/roussos_2024/variant_figures/roussos_2024.childhood.Astrocyte/rs17041068_count_position.png",4,220,900)</f>
        <v/>
      </c>
      <c r="T2112">
        <f>IMAGE("https://mitra.stanford.edu/kundaje/oak/projects/neuro-variants/variant_position/credible/roussos_2024/variant_figures/roussos_2024.childhood.Astrocyte/rs17041068_profile_position.png",4,220,900)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-0.0670984988</v>
      </c>
      <c r="G2113" t="n">
        <v>0.1448027968881677</v>
      </c>
      <c r="H2113" t="n">
        <v>0.008607531624918299</v>
      </c>
      <c r="I2113" t="n">
        <v>0.8393401098052571</v>
      </c>
      <c r="J2113" t="n">
        <v>0.1725737140589101</v>
      </c>
      <c r="K2113" t="n">
        <v>0.2305786197833223</v>
      </c>
      <c r="L2113" t="b">
        <v>0</v>
      </c>
      <c r="M2113" t="b">
        <v>0</v>
      </c>
      <c r="N2113" t="inlineStr">
        <is>
          <t>ref</t>
        </is>
      </c>
      <c r="O2113" t="n">
        <v>10</v>
      </c>
      <c r="P2113" t="n">
        <v>0.002317</v>
      </c>
      <c r="Q2113" t="n">
        <v>-80</v>
      </c>
      <c r="R2113" t="n">
        <v>0.0296</v>
      </c>
      <c r="S2113">
        <f>IMAGE("https://mitra.stanford.edu/kundaje/oak/projects/neuro-variants/variant_position/credible/roussos_2024/variant_figures/roussos_2024.childhood.Astrocyte/rs67206190_count_position.png",4,220,900)</f>
        <v/>
      </c>
      <c r="T2113">
        <f>IMAGE("https://mitra.stanford.edu/kundaje/oak/projects/neuro-variants/variant_position/credible/roussos_2024/variant_figures/roussos_2024.childhood.Astrocyte/rs67206190_profile_position.png",4,220,900)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0.07369203044</v>
      </c>
      <c r="G2114" t="n">
        <v>0.1608604684992805</v>
      </c>
      <c r="H2114" t="n">
        <v>0.0128656096884544</v>
      </c>
      <c r="I2114" t="n">
        <v>0.4401801976637435</v>
      </c>
      <c r="J2114" t="n">
        <v>0.2015784693122056</v>
      </c>
      <c r="K2114" t="n">
        <v>0.2012127718396229</v>
      </c>
      <c r="L2114" t="b">
        <v>0</v>
      </c>
      <c r="M2114" t="b">
        <v>0</v>
      </c>
      <c r="N2114" t="inlineStr">
        <is>
          <t>alt</t>
        </is>
      </c>
      <c r="O2114" t="n">
        <v>95</v>
      </c>
      <c r="P2114" t="n">
        <v>0.1116</v>
      </c>
      <c r="Q2114" t="n">
        <v>95</v>
      </c>
      <c r="R2114" t="n">
        <v>0.1128</v>
      </c>
      <c r="S2114">
        <f>IMAGE("https://mitra.stanford.edu/kundaje/oak/projects/neuro-variants/variant_position/credible/roussos_2024/variant_figures/roussos_2024.childhood.Astrocyte/rs66848903_count_position.png",4,220,900)</f>
        <v/>
      </c>
      <c r="T2114">
        <f>IMAGE("https://mitra.stanford.edu/kundaje/oak/projects/neuro-variants/variant_position/credible/roussos_2024/variant_figures/roussos_2024.childhood.Astrocyte/rs66848903_profile_position.png",4,220,900)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-0.015226371248</v>
      </c>
      <c r="G2115" t="n">
        <v>0.612016292459538</v>
      </c>
      <c r="H2115" t="n">
        <v>0.0113480060303636</v>
      </c>
      <c r="I2115" t="n">
        <v>0.576363065966058</v>
      </c>
      <c r="J2115" t="n">
        <v>0.0027577415981619</v>
      </c>
      <c r="K2115" t="n">
        <v>0.8319558257532254</v>
      </c>
      <c r="L2115" t="b">
        <v>0</v>
      </c>
      <c r="M2115" t="b">
        <v>0</v>
      </c>
      <c r="N2115" t="inlineStr">
        <is>
          <t>ref</t>
        </is>
      </c>
      <c r="O2115" t="n">
        <v>65</v>
      </c>
      <c r="P2115" t="n">
        <v>0.0063</v>
      </c>
      <c r="Q2115" t="n">
        <v>-25</v>
      </c>
      <c r="R2115" t="n">
        <v>0.09546</v>
      </c>
      <c r="S2115">
        <f>IMAGE("https://mitra.stanford.edu/kundaje/oak/projects/neuro-variants/variant_position/credible/roussos_2024/variant_figures/roussos_2024.childhood.Astrocyte/rs2941582_count_position.png",4,220,900)</f>
        <v/>
      </c>
      <c r="T2115">
        <f>IMAGE("https://mitra.stanford.edu/kundaje/oak/projects/neuro-variants/variant_position/credible/roussos_2024/variant_figures/roussos_2024.childhood.Astrocyte/rs2941582_profile_position.png",4,220,900)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-0.00279136846</v>
      </c>
      <c r="G2116" t="n">
        <v>0.5800344722859853</v>
      </c>
      <c r="H2116" t="n">
        <v>0.0188626649203018</v>
      </c>
      <c r="I2116" t="n">
        <v>0.1545662257388583</v>
      </c>
      <c r="J2116" t="n">
        <v>0.2477151122407699</v>
      </c>
      <c r="K2116" t="n">
        <v>0.1664147848041974</v>
      </c>
      <c r="L2116" t="b">
        <v>0</v>
      </c>
      <c r="M2116" t="b">
        <v>0</v>
      </c>
      <c r="N2116" t="inlineStr">
        <is>
          <t>ref</t>
        </is>
      </c>
      <c r="O2116" t="n">
        <v>-100</v>
      </c>
      <c r="P2116" t="n">
        <v>0.079</v>
      </c>
      <c r="Q2116" t="n">
        <v>5</v>
      </c>
      <c r="R2116" t="n">
        <v>0.01917</v>
      </c>
      <c r="S2116">
        <f>IMAGE("https://mitra.stanford.edu/kundaje/oak/projects/neuro-variants/variant_position/credible/roussos_2024/variant_figures/roussos_2024.childhood.Astrocyte/rs354216_count_position.png",4,220,900)</f>
        <v/>
      </c>
      <c r="T2116">
        <f>IMAGE("https://mitra.stanford.edu/kundaje/oak/projects/neuro-variants/variant_position/credible/roussos_2024/variant_figures/roussos_2024.childhood.Astrocyte/rs354216_profile_position.png",4,220,900)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-0.002899208356</v>
      </c>
      <c r="G2117" t="n">
        <v>0.7504210787629604</v>
      </c>
      <c r="H2117" t="n">
        <v>0.0130579269523481</v>
      </c>
      <c r="I2117" t="n">
        <v>0.4290288838764988</v>
      </c>
      <c r="J2117" t="n">
        <v>0.0009487608099959</v>
      </c>
      <c r="K2117" t="n">
        <v>0.9056241165121984</v>
      </c>
      <c r="L2117" t="b">
        <v>0</v>
      </c>
      <c r="M2117" t="b">
        <v>0</v>
      </c>
      <c r="N2117" t="inlineStr">
        <is>
          <t>ref</t>
        </is>
      </c>
      <c r="O2117" t="n">
        <v>-30</v>
      </c>
      <c r="P2117" t="n">
        <v>0.003609</v>
      </c>
      <c r="Q2117" t="n">
        <v>95</v>
      </c>
      <c r="R2117" t="n">
        <v>0.124</v>
      </c>
      <c r="S2117">
        <f>IMAGE("https://mitra.stanford.edu/kundaje/oak/projects/neuro-variants/variant_position/credible/roussos_2024/variant_figures/roussos_2024.childhood.Astrocyte/rs73934803_count_position.png",4,220,900)</f>
        <v/>
      </c>
      <c r="T2117">
        <f>IMAGE("https://mitra.stanford.edu/kundaje/oak/projects/neuro-variants/variant_position/credible/roussos_2024/variant_figures/roussos_2024.childhood.Astrocyte/rs73934803_profile_position.png",4,220,900)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-0.1276913148</v>
      </c>
      <c r="G2118" t="n">
        <v>0.0452628785864052</v>
      </c>
      <c r="H2118" t="n">
        <v>0.0151430119158926</v>
      </c>
      <c r="I2118" t="n">
        <v>0.2941165266709163</v>
      </c>
      <c r="J2118" t="n">
        <v>0.0296993428133085</v>
      </c>
      <c r="K2118" t="n">
        <v>0.5326064982033927</v>
      </c>
      <c r="L2118" t="b">
        <v>0</v>
      </c>
      <c r="M2118" t="b">
        <v>0</v>
      </c>
      <c r="N2118" t="inlineStr">
        <is>
          <t>ref</t>
        </is>
      </c>
      <c r="O2118" t="n">
        <v>-60</v>
      </c>
      <c r="P2118" t="n">
        <v>0.02895</v>
      </c>
      <c r="Q2118" t="n">
        <v>-65</v>
      </c>
      <c r="R2118" t="n">
        <v>0.14</v>
      </c>
      <c r="S2118">
        <f>IMAGE("https://mitra.stanford.edu/kundaje/oak/projects/neuro-variants/variant_position/credible/roussos_2024/variant_figures/roussos_2024.childhood.Astrocyte/rs148661029_count_position.png",4,220,900)</f>
        <v/>
      </c>
      <c r="T2118">
        <f>IMAGE("https://mitra.stanford.edu/kundaje/oak/projects/neuro-variants/variant_position/credible/roussos_2024/variant_figures/roussos_2024.childhood.Astrocyte/rs148661029_profile_position.png",4,220,900)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-0.0331237742</v>
      </c>
      <c r="G2119" t="n">
        <v>0.3703859408826676</v>
      </c>
      <c r="H2119" t="n">
        <v>0.0162493489114744</v>
      </c>
      <c r="I2119" t="n">
        <v>0.2466997070661021</v>
      </c>
      <c r="J2119" t="n">
        <v>0.0305107126773678</v>
      </c>
      <c r="K2119" t="n">
        <v>0.5285301482361967</v>
      </c>
      <c r="L2119" t="b">
        <v>0</v>
      </c>
      <c r="M2119" t="b">
        <v>0</v>
      </c>
      <c r="N2119" t="inlineStr">
        <is>
          <t>ref</t>
        </is>
      </c>
      <c r="O2119" t="n">
        <v>25</v>
      </c>
      <c r="P2119" t="n">
        <v>0.001656</v>
      </c>
      <c r="Q2119" t="n">
        <v>0</v>
      </c>
      <c r="R2119" t="n">
        <v>0</v>
      </c>
      <c r="S2119">
        <f>IMAGE("https://mitra.stanford.edu/kundaje/oak/projects/neuro-variants/variant_position/credible/roussos_2024/variant_figures/roussos_2024.childhood.Astrocyte/rs10180540_count_position.png",4,220,900)</f>
        <v/>
      </c>
      <c r="T2119">
        <f>IMAGE("https://mitra.stanford.edu/kundaje/oak/projects/neuro-variants/variant_position/credible/roussos_2024/variant_figures/roussos_2024.childhood.Astrocyte/rs10180540_profile_position.png",4,220,900)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-0.01037530734</v>
      </c>
      <c r="G2120" t="n">
        <v>0.6780699227367583</v>
      </c>
      <c r="H2120" t="n">
        <v>0.0101124232397415</v>
      </c>
      <c r="I2120" t="n">
        <v>0.7043575343782593</v>
      </c>
      <c r="J2120" t="n">
        <v>0.0067313930678634</v>
      </c>
      <c r="K2120" t="n">
        <v>0.7402779547959509</v>
      </c>
      <c r="L2120" t="b">
        <v>0</v>
      </c>
      <c r="M2120" t="b">
        <v>0</v>
      </c>
      <c r="N2120" t="inlineStr">
        <is>
          <t>ref</t>
        </is>
      </c>
      <c r="O2120" t="n">
        <v>35</v>
      </c>
      <c r="P2120" t="n">
        <v>0.005196</v>
      </c>
      <c r="Q2120" t="n">
        <v>-25</v>
      </c>
      <c r="R2120" t="n">
        <v>0.03644</v>
      </c>
      <c r="S2120">
        <f>IMAGE("https://mitra.stanford.edu/kundaje/oak/projects/neuro-variants/variant_position/credible/roussos_2024/variant_figures/roussos_2024.childhood.Astrocyte/rs41335055_count_position.png",4,220,900)</f>
        <v/>
      </c>
      <c r="T2120">
        <f>IMAGE("https://mitra.stanford.edu/kundaje/oak/projects/neuro-variants/variant_position/credible/roussos_2024/variant_figures/roussos_2024.childhood.Astrocyte/rs41335055_profile_position.png",4,220,900)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-0.1282494008</v>
      </c>
      <c r="G2121" t="n">
        <v>0.0483569744513974</v>
      </c>
      <c r="H2121" t="n">
        <v>0.022184868380517</v>
      </c>
      <c r="I2121" t="n">
        <v>0.0889757826759368</v>
      </c>
      <c r="J2121" t="n">
        <v>0.08497172036362791</v>
      </c>
      <c r="K2121" t="n">
        <v>0.3525390299300962</v>
      </c>
      <c r="L2121" t="b">
        <v>0</v>
      </c>
      <c r="M2121" t="b">
        <v>0</v>
      </c>
      <c r="N2121" t="inlineStr">
        <is>
          <t>ref</t>
        </is>
      </c>
      <c r="O2121" t="n">
        <v>-100</v>
      </c>
      <c r="P2121" t="n">
        <v>0.11957</v>
      </c>
      <c r="Q2121" t="n">
        <v>-100</v>
      </c>
      <c r="R2121" t="n">
        <v>0.2267</v>
      </c>
      <c r="S2121">
        <f>IMAGE("https://mitra.stanford.edu/kundaje/oak/projects/neuro-variants/variant_position/credible/roussos_2024/variant_figures/roussos_2024.childhood.Astrocyte/rs77011057_count_position.png",4,220,900)</f>
        <v/>
      </c>
      <c r="T2121">
        <f>IMAGE("https://mitra.stanford.edu/kundaje/oak/projects/neuro-variants/variant_position/credible/roussos_2024/variant_figures/roussos_2024.childhood.Astrocyte/rs77011057_profile_position.png",4,220,900)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-0.00593305824</v>
      </c>
      <c r="G2122" t="n">
        <v>0.7975536335430805</v>
      </c>
      <c r="H2122" t="n">
        <v>0.0326754726748958</v>
      </c>
      <c r="I2122" t="n">
        <v>0.0210778231059013</v>
      </c>
      <c r="J2122" t="n">
        <v>0.0062428919267553</v>
      </c>
      <c r="K2122" t="n">
        <v>0.7560182137851026</v>
      </c>
      <c r="L2122" t="b">
        <v>0</v>
      </c>
      <c r="M2122" t="b">
        <v>0</v>
      </c>
      <c r="N2122" t="inlineStr">
        <is>
          <t>ref</t>
        </is>
      </c>
      <c r="O2122" t="n">
        <v>-20</v>
      </c>
      <c r="P2122" t="n">
        <v>0.0013275</v>
      </c>
      <c r="Q2122" t="n">
        <v>-100</v>
      </c>
      <c r="R2122" t="n">
        <v>0.0912</v>
      </c>
      <c r="S2122">
        <f>IMAGE("https://mitra.stanford.edu/kundaje/oak/projects/neuro-variants/variant_position/credible/roussos_2024/variant_figures/roussos_2024.childhood.Astrocyte/rs79017955_count_position.png",4,220,900)</f>
        <v/>
      </c>
      <c r="T2122">
        <f>IMAGE("https://mitra.stanford.edu/kundaje/oak/projects/neuro-variants/variant_position/credible/roussos_2024/variant_figures/roussos_2024.childhood.Astrocyte/rs79017955_profile_position.png",4,220,900)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0.00845563196</v>
      </c>
      <c r="G2123" t="n">
        <v>0.6979657586643929</v>
      </c>
      <c r="H2123" t="n">
        <v>0.0243744842103863</v>
      </c>
      <c r="I2123" t="n">
        <v>0.06469635640532</v>
      </c>
      <c r="J2123" t="n">
        <v>0.0137749688962163</v>
      </c>
      <c r="K2123" t="n">
        <v>0.6914901531376987</v>
      </c>
      <c r="L2123" t="b">
        <v>0</v>
      </c>
      <c r="M2123" t="b">
        <v>0</v>
      </c>
      <c r="N2123" t="inlineStr">
        <is>
          <t>alt</t>
        </is>
      </c>
      <c r="O2123" t="n">
        <v>-15</v>
      </c>
      <c r="P2123" t="n">
        <v>0.006958</v>
      </c>
      <c r="Q2123" t="n">
        <v>25</v>
      </c>
      <c r="R2123" t="n">
        <v>0.1129</v>
      </c>
      <c r="S2123">
        <f>IMAGE("https://mitra.stanford.edu/kundaje/oak/projects/neuro-variants/variant_position/credible/roussos_2024/variant_figures/roussos_2024.childhood.Astrocyte/rs59159185_count_position.png",4,220,900)</f>
        <v/>
      </c>
      <c r="T2123">
        <f>IMAGE("https://mitra.stanford.edu/kundaje/oak/projects/neuro-variants/variant_position/credible/roussos_2024/variant_figures/roussos_2024.childhood.Astrocyte/rs59159185_profile_position.png",4,220,900)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-0.08857282380000001</v>
      </c>
      <c r="G2124" t="n">
        <v>0.1020229384922947</v>
      </c>
      <c r="H2124" t="n">
        <v>0.0123954180099222</v>
      </c>
      <c r="I2124" t="n">
        <v>0.4739897617956081</v>
      </c>
      <c r="J2124" t="n">
        <v>0.2795859952829108</v>
      </c>
      <c r="K2124" t="n">
        <v>0.1429960484980759</v>
      </c>
      <c r="L2124" t="b">
        <v>0</v>
      </c>
      <c r="M2124" t="b">
        <v>0</v>
      </c>
      <c r="N2124" t="inlineStr">
        <is>
          <t>ref</t>
        </is>
      </c>
      <c r="O2124" t="n">
        <v>-65</v>
      </c>
      <c r="P2124" t="n">
        <v>0.008255</v>
      </c>
      <c r="Q2124" t="n">
        <v>55</v>
      </c>
      <c r="R2124" t="n">
        <v>0.2007</v>
      </c>
      <c r="S2124">
        <f>IMAGE("https://mitra.stanford.edu/kundaje/oak/projects/neuro-variants/variant_position/credible/roussos_2024/variant_figures/roussos_2024.childhood.Astrocyte/rs17828225_count_position.png",4,220,900)</f>
        <v/>
      </c>
      <c r="T2124">
        <f>IMAGE("https://mitra.stanford.edu/kundaje/oak/projects/neuro-variants/variant_position/credible/roussos_2024/variant_figures/roussos_2024.childhood.Astrocyte/rs17828225_profile_position.png",4,220,900)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0.01134620646</v>
      </c>
      <c r="G2125" t="n">
        <v>0.681692926633154</v>
      </c>
      <c r="H2125" t="n">
        <v>0.010086338277803</v>
      </c>
      <c r="I2125" t="n">
        <v>0.7100576848319241</v>
      </c>
      <c r="J2125" t="n">
        <v>0.0757711066840694</v>
      </c>
      <c r="K2125" t="n">
        <v>0.3711356278093164</v>
      </c>
      <c r="L2125" t="b">
        <v>0</v>
      </c>
      <c r="M2125" t="b">
        <v>0</v>
      </c>
      <c r="N2125" t="inlineStr">
        <is>
          <t>alt</t>
        </is>
      </c>
      <c r="O2125" t="n">
        <v>90</v>
      </c>
      <c r="P2125" t="n">
        <v>0.004395</v>
      </c>
      <c r="Q2125" t="n">
        <v>20</v>
      </c>
      <c r="R2125" t="n">
        <v>0.004036</v>
      </c>
      <c r="S2125">
        <f>IMAGE("https://mitra.stanford.edu/kundaje/oak/projects/neuro-variants/variant_position/credible/roussos_2024/variant_figures/roussos_2024.childhood.Astrocyte/rs2678915_count_position.png",4,220,900)</f>
        <v/>
      </c>
      <c r="T2125">
        <f>IMAGE("https://mitra.stanford.edu/kundaje/oak/projects/neuro-variants/variant_position/credible/roussos_2024/variant_figures/roussos_2024.childhood.Astrocyte/rs2678915_profile_position.png",4,220,900)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-0.0235284258</v>
      </c>
      <c r="G2126" t="n">
        <v>0.4717774010772043</v>
      </c>
      <c r="H2126" t="n">
        <v>0.0101110024606876</v>
      </c>
      <c r="I2126" t="n">
        <v>0.70212873813972</v>
      </c>
      <c r="J2126" t="n">
        <v>0.0746330516818941</v>
      </c>
      <c r="K2126" t="n">
        <v>0.37355811198586</v>
      </c>
      <c r="L2126" t="b">
        <v>0</v>
      </c>
      <c r="M2126" t="b">
        <v>0</v>
      </c>
      <c r="N2126" t="inlineStr">
        <is>
          <t>ref</t>
        </is>
      </c>
      <c r="O2126" t="n">
        <v>0</v>
      </c>
      <c r="P2126" t="n">
        <v>0</v>
      </c>
      <c r="Q2126" t="n">
        <v>80</v>
      </c>
      <c r="R2126" t="n">
        <v>0.1411</v>
      </c>
      <c r="S2126">
        <f>IMAGE("https://mitra.stanford.edu/kundaje/oak/projects/neuro-variants/variant_position/credible/roussos_2024/variant_figures/roussos_2024.childhood.Astrocyte/rs77843640_count_position.png",4,220,900)</f>
        <v/>
      </c>
      <c r="T2126">
        <f>IMAGE("https://mitra.stanford.edu/kundaje/oak/projects/neuro-variants/variant_position/credible/roussos_2024/variant_figures/roussos_2024.childhood.Astrocyte/rs77843640_profile_position.png",4,220,900)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-0.0131669788</v>
      </c>
      <c r="G2127" t="n">
        <v>0.394266888706575</v>
      </c>
      <c r="H2127" t="n">
        <v>0.0156844194223131</v>
      </c>
      <c r="I2127" t="n">
        <v>0.2617540544240009</v>
      </c>
      <c r="J2127" t="n">
        <v>0.0168212314808453</v>
      </c>
      <c r="K2127" t="n">
        <v>0.6223693663770877</v>
      </c>
      <c r="L2127" t="b">
        <v>0</v>
      </c>
      <c r="M2127" t="b">
        <v>0</v>
      </c>
      <c r="N2127" t="inlineStr">
        <is>
          <t>ref</t>
        </is>
      </c>
      <c r="O2127" t="n">
        <v>-80</v>
      </c>
      <c r="P2127" t="n">
        <v>0.003813</v>
      </c>
      <c r="Q2127" t="n">
        <v>-80</v>
      </c>
      <c r="R2127" t="n">
        <v>0.04492</v>
      </c>
      <c r="S2127">
        <f>IMAGE("https://mitra.stanford.edu/kundaje/oak/projects/neuro-variants/variant_position/credible/roussos_2024/variant_figures/roussos_2024.childhood.Astrocyte/rs2717007_count_position.png",4,220,900)</f>
        <v/>
      </c>
      <c r="T2127">
        <f>IMAGE("https://mitra.stanford.edu/kundaje/oak/projects/neuro-variants/variant_position/credible/roussos_2024/variant_figures/roussos_2024.childhood.Astrocyte/rs2717007_profile_position.png",4,220,900)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0.0160040796</v>
      </c>
      <c r="G2128" t="n">
        <v>0.5002871452326596</v>
      </c>
      <c r="H2128" t="n">
        <v>0.0246388139219785</v>
      </c>
      <c r="I2128" t="n">
        <v>0.061404973664343</v>
      </c>
      <c r="J2128" t="n">
        <v>0.0018807293932662</v>
      </c>
      <c r="K2128" t="n">
        <v>0.86987334834515</v>
      </c>
      <c r="L2128" t="b">
        <v>0</v>
      </c>
      <c r="M2128" t="b">
        <v>0</v>
      </c>
      <c r="N2128" t="inlineStr">
        <is>
          <t>alt</t>
        </is>
      </c>
      <c r="O2128" t="n">
        <v>-25</v>
      </c>
      <c r="P2128" t="n">
        <v>0.002144</v>
      </c>
      <c r="Q2128" t="n">
        <v>-50</v>
      </c>
      <c r="R2128" t="n">
        <v>0.04083</v>
      </c>
      <c r="S2128">
        <f>IMAGE("https://mitra.stanford.edu/kundaje/oak/projects/neuro-variants/variant_position/credible/roussos_2024/variant_figures/roussos_2024.childhood.Astrocyte/rs2717019_count_position.png",4,220,900)</f>
        <v/>
      </c>
      <c r="T2128">
        <f>IMAGE("https://mitra.stanford.edu/kundaje/oak/projects/neuro-variants/variant_position/credible/roussos_2024/variant_figures/roussos_2024.childhood.Astrocyte/rs2717019_profile_position.png",4,220,900)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0.0303169534</v>
      </c>
      <c r="G2129" t="n">
        <v>0.3779559941944548</v>
      </c>
      <c r="H2129" t="n">
        <v>0.0203643560597935</v>
      </c>
      <c r="I2129" t="n">
        <v>0.1175855347661089</v>
      </c>
      <c r="J2129" t="n">
        <v>0.0107355758588841</v>
      </c>
      <c r="K2129" t="n">
        <v>0.6796238478258293</v>
      </c>
      <c r="L2129" t="b">
        <v>0</v>
      </c>
      <c r="M2129" t="b">
        <v>0</v>
      </c>
      <c r="N2129" t="inlineStr">
        <is>
          <t>alt</t>
        </is>
      </c>
      <c r="O2129" t="n">
        <v>100</v>
      </c>
      <c r="P2129" t="n">
        <v>0.003204</v>
      </c>
      <c r="Q2129" t="n">
        <v>100</v>
      </c>
      <c r="R2129" t="n">
        <v>0.2893</v>
      </c>
      <c r="S2129">
        <f>IMAGE("https://mitra.stanford.edu/kundaje/oak/projects/neuro-variants/variant_position/credible/roussos_2024/variant_figures/roussos_2024.childhood.Astrocyte/rs2678888_count_position.png",4,220,900)</f>
        <v/>
      </c>
      <c r="T2129">
        <f>IMAGE("https://mitra.stanford.edu/kundaje/oak/projects/neuro-variants/variant_position/credible/roussos_2024/variant_figures/roussos_2024.childhood.Astrocyte/rs2678888_profile_position.png",4,220,900)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-0.0343958158</v>
      </c>
      <c r="G2130" t="n">
        <v>0.3359562465910434</v>
      </c>
      <c r="H2130" t="n">
        <v>0.0099901417973444</v>
      </c>
      <c r="I2130" t="n">
        <v>0.7083330050315635</v>
      </c>
      <c r="J2130" t="n">
        <v>0.0031271705861249</v>
      </c>
      <c r="K2130" t="n">
        <v>0.8180777022504533</v>
      </c>
      <c r="L2130" t="b">
        <v>0</v>
      </c>
      <c r="M2130" t="b">
        <v>0</v>
      </c>
      <c r="N2130" t="inlineStr">
        <is>
          <t>ref</t>
        </is>
      </c>
      <c r="O2130" t="n">
        <v>-100</v>
      </c>
      <c r="P2130" t="n">
        <v>0.01778</v>
      </c>
      <c r="Q2130" t="n">
        <v>-100</v>
      </c>
      <c r="R2130" t="n">
        <v>0.171</v>
      </c>
      <c r="S2130">
        <f>IMAGE("https://mitra.stanford.edu/kundaje/oak/projects/neuro-variants/variant_position/credible/roussos_2024/variant_figures/roussos_2024.childhood.Astrocyte/rs970941_count_position.png",4,220,900)</f>
        <v/>
      </c>
      <c r="T2130">
        <f>IMAGE("https://mitra.stanford.edu/kundaje/oak/projects/neuro-variants/variant_position/credible/roussos_2024/variant_figures/roussos_2024.childhood.Astrocyte/rs970941_profile_position.png",4,220,900)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-0.01268362418</v>
      </c>
      <c r="G2131" t="n">
        <v>0.67985527062628</v>
      </c>
      <c r="H2131" t="n">
        <v>0.0265301342946594</v>
      </c>
      <c r="I2131" t="n">
        <v>0.0468964388044096</v>
      </c>
      <c r="J2131" t="n">
        <v>0.0006335249173745</v>
      </c>
      <c r="K2131" t="n">
        <v>0.9290592313097999</v>
      </c>
      <c r="L2131" t="b">
        <v>0</v>
      </c>
      <c r="M2131" t="b">
        <v>0</v>
      </c>
      <c r="N2131" t="inlineStr">
        <is>
          <t>ref</t>
        </is>
      </c>
      <c r="O2131" t="n">
        <v>-95</v>
      </c>
      <c r="P2131" t="n">
        <v>0.008699999999999999</v>
      </c>
      <c r="Q2131" t="n">
        <v>-40</v>
      </c>
      <c r="R2131" t="n">
        <v>0.06354</v>
      </c>
      <c r="S2131">
        <f>IMAGE("https://mitra.stanford.edu/kundaje/oak/projects/neuro-variants/variant_position/credible/roussos_2024/variant_figures/roussos_2024.childhood.Astrocyte/rs2678891_count_position.png",4,220,900)</f>
        <v/>
      </c>
      <c r="T2131">
        <f>IMAGE("https://mitra.stanford.edu/kundaje/oak/projects/neuro-variants/variant_position/credible/roussos_2024/variant_figures/roussos_2024.childhood.Astrocyte/rs2678891_profile_position.png",4,220,900)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-0.00155056312</v>
      </c>
      <c r="G2132" t="n">
        <v>0.7975957184226541</v>
      </c>
      <c r="H2132" t="n">
        <v>0.0217869442635848</v>
      </c>
      <c r="I2132" t="n">
        <v>0.09504717964962731</v>
      </c>
      <c r="J2132" t="n">
        <v>0.0013319288925525</v>
      </c>
      <c r="K2132" t="n">
        <v>0.8909909986264569</v>
      </c>
      <c r="L2132" t="b">
        <v>0</v>
      </c>
      <c r="M2132" t="b">
        <v>0</v>
      </c>
      <c r="N2132" t="inlineStr">
        <is>
          <t>ref</t>
        </is>
      </c>
      <c r="O2132" t="n">
        <v>-90</v>
      </c>
      <c r="P2132" t="n">
        <v>0.004883</v>
      </c>
      <c r="Q2132" t="n">
        <v>10</v>
      </c>
      <c r="R2132" t="n">
        <v>0.0065</v>
      </c>
      <c r="S2132">
        <f>IMAGE("https://mitra.stanford.edu/kundaje/oak/projects/neuro-variants/variant_position/credible/roussos_2024/variant_figures/roussos_2024.childhood.Astrocyte/rs1568254_count_position.png",4,220,900)</f>
        <v/>
      </c>
      <c r="T2132">
        <f>IMAGE("https://mitra.stanford.edu/kundaje/oak/projects/neuro-variants/variant_position/credible/roussos_2024/variant_figures/roussos_2024.childhood.Astrocyte/rs1568254_profile_position.png",4,220,900)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0.01322376584</v>
      </c>
      <c r="G2133" t="n">
        <v>0.5326162730197042</v>
      </c>
      <c r="H2133" t="n">
        <v>0.0388843524105459</v>
      </c>
      <c r="I2133" t="n">
        <v>0.0108861349175023</v>
      </c>
      <c r="J2133" t="n">
        <v>0.0520024730370268</v>
      </c>
      <c r="K2133" t="n">
        <v>0.4416608920861791</v>
      </c>
      <c r="L2133" t="b">
        <v>1</v>
      </c>
      <c r="M2133" t="b">
        <v>0</v>
      </c>
      <c r="N2133" t="inlineStr">
        <is>
          <t>alt</t>
        </is>
      </c>
      <c r="O2133" t="n">
        <v>25</v>
      </c>
      <c r="P2133" t="n">
        <v>0.002762</v>
      </c>
      <c r="Q2133" t="n">
        <v>-100</v>
      </c>
      <c r="R2133" t="n">
        <v>0.3342</v>
      </c>
      <c r="S2133">
        <f>IMAGE("https://mitra.stanford.edu/kundaje/oak/projects/neuro-variants/variant_position/credible/roussos_2024/variant_figures/roussos_2024.childhood.Astrocyte/rs1518393_count_position.png",4,220,900)</f>
        <v/>
      </c>
      <c r="T2133">
        <f>IMAGE("https://mitra.stanford.edu/kundaje/oak/projects/neuro-variants/variant_position/credible/roussos_2024/variant_figures/roussos_2024.childhood.Astrocyte/rs1518393_profile_position.png",4,220,900)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0.0349544466</v>
      </c>
      <c r="G2134" t="n">
        <v>0.3092654537144669</v>
      </c>
      <c r="H2134" t="n">
        <v>0.0097638005578254</v>
      </c>
      <c r="I2134" t="n">
        <v>0.6771184829952898</v>
      </c>
      <c r="J2134" t="n">
        <v>0.0053758024012884</v>
      </c>
      <c r="K2134" t="n">
        <v>0.7765275472450517</v>
      </c>
      <c r="L2134" t="b">
        <v>0</v>
      </c>
      <c r="M2134" t="b">
        <v>0</v>
      </c>
      <c r="N2134" t="inlineStr">
        <is>
          <t>alt</t>
        </is>
      </c>
      <c r="O2134" t="n">
        <v>-50</v>
      </c>
      <c r="P2134" t="n">
        <v>0.01295</v>
      </c>
      <c r="Q2134" t="n">
        <v>35</v>
      </c>
      <c r="R2134" t="n">
        <v>0.05576</v>
      </c>
      <c r="S2134">
        <f>IMAGE("https://mitra.stanford.edu/kundaje/oak/projects/neuro-variants/variant_position/credible/roussos_2024/variant_figures/roussos_2024.childhood.Astrocyte/rs59913344_count_position.png",4,220,900)</f>
        <v/>
      </c>
      <c r="T2134">
        <f>IMAGE("https://mitra.stanford.edu/kundaje/oak/projects/neuro-variants/variant_position/credible/roussos_2024/variant_figures/roussos_2024.childhood.Astrocyte/rs59913344_profile_position.png",4,220,900)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-0.169658318</v>
      </c>
      <c r="G2135" t="n">
        <v>0.0251410386721682</v>
      </c>
      <c r="H2135" t="n">
        <v>0.0271153955433855</v>
      </c>
      <c r="I2135" t="n">
        <v>0.044830555326151</v>
      </c>
      <c r="J2135" t="n">
        <v>0.0448581438483203</v>
      </c>
      <c r="K2135" t="n">
        <v>0.4695012927791118</v>
      </c>
      <c r="L2135" t="b">
        <v>0</v>
      </c>
      <c r="M2135" t="b">
        <v>0</v>
      </c>
      <c r="N2135" t="inlineStr">
        <is>
          <t>ref</t>
        </is>
      </c>
      <c r="O2135" t="n">
        <v>65</v>
      </c>
      <c r="P2135" t="n">
        <v>0.006424</v>
      </c>
      <c r="Q2135" t="n">
        <v>-95</v>
      </c>
      <c r="R2135" t="n">
        <v>0.1133</v>
      </c>
      <c r="S2135">
        <f>IMAGE("https://mitra.stanford.edu/kundaje/oak/projects/neuro-variants/variant_position/credible/roussos_2024/variant_figures/roussos_2024.childhood.Astrocyte/rs6732310_count_position.png",4,220,900)</f>
        <v/>
      </c>
      <c r="T2135">
        <f>IMAGE("https://mitra.stanford.edu/kundaje/oak/projects/neuro-variants/variant_position/credible/roussos_2024/variant_figures/roussos_2024.childhood.Astrocyte/rs6732310_profile_position.png",4,220,900)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-0.320211858</v>
      </c>
      <c r="G2136" t="n">
        <v>0.0047659066930746</v>
      </c>
      <c r="H2136" t="n">
        <v>0.041353149421568</v>
      </c>
      <c r="I2136" t="n">
        <v>0.009425084886155601</v>
      </c>
      <c r="J2136" t="n">
        <v>0.0201476189385785</v>
      </c>
      <c r="K2136" t="n">
        <v>0.6111935127093691</v>
      </c>
      <c r="L2136" t="b">
        <v>1</v>
      </c>
      <c r="M2136" t="b">
        <v>1</v>
      </c>
      <c r="N2136" t="inlineStr">
        <is>
          <t>ref</t>
        </is>
      </c>
      <c r="O2136" t="n">
        <v>100</v>
      </c>
      <c r="P2136" t="n">
        <v>0.05615</v>
      </c>
      <c r="Q2136" t="n">
        <v>0</v>
      </c>
      <c r="R2136" t="n">
        <v>0</v>
      </c>
      <c r="S2136">
        <f>IMAGE("https://mitra.stanford.edu/kundaje/oak/projects/neuro-variants/variant_position/credible/roussos_2024/variant_figures/roussos_2024.childhood.Astrocyte/rs17049298_count_position.png",4,220,900)</f>
        <v/>
      </c>
      <c r="T2136">
        <f>IMAGE("https://mitra.stanford.edu/kundaje/oak/projects/neuro-variants/variant_position/credible/roussos_2024/variant_figures/roussos_2024.childhood.Astrocyte/rs17049298_profile_position.png",4,220,900)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0.0375479067999999</v>
      </c>
      <c r="G2137" t="n">
        <v>0.3114047497709895</v>
      </c>
      <c r="H2137" t="n">
        <v>0.0139883288120093</v>
      </c>
      <c r="I2137" t="n">
        <v>0.3595474832912668</v>
      </c>
      <c r="J2137" t="n">
        <v>0.005923839618969</v>
      </c>
      <c r="K2137" t="n">
        <v>0.766468614662783</v>
      </c>
      <c r="L2137" t="b">
        <v>0</v>
      </c>
      <c r="M2137" t="b">
        <v>0</v>
      </c>
      <c r="N2137" t="inlineStr">
        <is>
          <t>alt</t>
        </is>
      </c>
      <c r="O2137" t="n">
        <v>-70</v>
      </c>
      <c r="P2137" t="n">
        <v>0.01596</v>
      </c>
      <c r="Q2137" t="n">
        <v>-100</v>
      </c>
      <c r="R2137" t="n">
        <v>0.1432</v>
      </c>
      <c r="S2137">
        <f>IMAGE("https://mitra.stanford.edu/kundaje/oak/projects/neuro-variants/variant_position/credible/roussos_2024/variant_figures/roussos_2024.childhood.Astrocyte/rs3771204_count_position.png",4,220,900)</f>
        <v/>
      </c>
      <c r="T2137">
        <f>IMAGE("https://mitra.stanford.edu/kundaje/oak/projects/neuro-variants/variant_position/credible/roussos_2024/variant_figures/roussos_2024.childhood.Astrocyte/rs3771204_profile_position.png",4,220,900)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0.0525818506</v>
      </c>
      <c r="G2138" t="n">
        <v>0.1990408941955729</v>
      </c>
      <c r="H2138" t="n">
        <v>0.013278911202902</v>
      </c>
      <c r="I2138" t="n">
        <v>0.4119132350001331</v>
      </c>
      <c r="J2138" t="n">
        <v>0.0015883919916343</v>
      </c>
      <c r="K2138" t="n">
        <v>0.8800306858179554</v>
      </c>
      <c r="L2138" t="b">
        <v>0</v>
      </c>
      <c r="M2138" t="b">
        <v>0</v>
      </c>
      <c r="N2138" t="inlineStr">
        <is>
          <t>alt</t>
        </is>
      </c>
      <c r="O2138" t="n">
        <v>35</v>
      </c>
      <c r="P2138" t="n">
        <v>0.002914</v>
      </c>
      <c r="Q2138" t="n">
        <v>100</v>
      </c>
      <c r="R2138" t="n">
        <v>0.04007</v>
      </c>
      <c r="S2138">
        <f>IMAGE("https://mitra.stanford.edu/kundaje/oak/projects/neuro-variants/variant_position/credible/roussos_2024/variant_figures/roussos_2024.childhood.Astrocyte/rs12620940_count_position.png",4,220,900)</f>
        <v/>
      </c>
      <c r="T2138">
        <f>IMAGE("https://mitra.stanford.edu/kundaje/oak/projects/neuro-variants/variant_position/credible/roussos_2024/variant_figures/roussos_2024.childhood.Astrocyte/rs12620940_profile_position.png",4,220,900)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-0.02072097812</v>
      </c>
      <c r="G2139" t="n">
        <v>0.5140203806010371</v>
      </c>
      <c r="H2139" t="n">
        <v>0.0287673416507587</v>
      </c>
      <c r="I2139" t="n">
        <v>0.0355267630653053</v>
      </c>
      <c r="J2139" t="n">
        <v>0.0002755451749062</v>
      </c>
      <c r="K2139" t="n">
        <v>0.9616746434887284</v>
      </c>
      <c r="L2139" t="b">
        <v>0</v>
      </c>
      <c r="M2139" t="b">
        <v>0</v>
      </c>
      <c r="N2139" t="inlineStr">
        <is>
          <t>ref</t>
        </is>
      </c>
      <c r="O2139" t="n">
        <v>95</v>
      </c>
      <c r="P2139" t="n">
        <v>0.2332</v>
      </c>
      <c r="Q2139" t="n">
        <v>-70</v>
      </c>
      <c r="R2139" t="n">
        <v>0.1019</v>
      </c>
      <c r="S2139">
        <f>IMAGE("https://mitra.stanford.edu/kundaje/oak/projects/neuro-variants/variant_position/credible/roussos_2024/variant_figures/roussos_2024.childhood.Astrocyte/rs2118899_count_position.png",4,220,900)</f>
        <v/>
      </c>
      <c r="T2139">
        <f>IMAGE("https://mitra.stanford.edu/kundaje/oak/projects/neuro-variants/variant_position/credible/roussos_2024/variant_figures/roussos_2024.childhood.Astrocyte/rs2118899_profile_position.png",4,220,900)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-0.0423550216</v>
      </c>
      <c r="G2140" t="n">
        <v>0.278722954579153</v>
      </c>
      <c r="H2140" t="n">
        <v>0.0356273427817359</v>
      </c>
      <c r="I2140" t="n">
        <v>0.015415056211141</v>
      </c>
      <c r="J2140" t="n">
        <v>0.0315617534137833</v>
      </c>
      <c r="K2140" t="n">
        <v>0.5171761429084087</v>
      </c>
      <c r="L2140" t="b">
        <v>1</v>
      </c>
      <c r="M2140" t="b">
        <v>0</v>
      </c>
      <c r="N2140" t="inlineStr">
        <is>
          <t>ref</t>
        </is>
      </c>
      <c r="O2140" t="n">
        <v>-45</v>
      </c>
      <c r="P2140" t="n">
        <v>0.0216</v>
      </c>
      <c r="Q2140" t="n">
        <v>-100</v>
      </c>
      <c r="R2140" t="n">
        <v>0.1157</v>
      </c>
      <c r="S2140">
        <f>IMAGE("https://mitra.stanford.edu/kundaje/oak/projects/neuro-variants/variant_position/credible/roussos_2024/variant_figures/roussos_2024.childhood.Astrocyte/rs17049366_count_position.png",4,220,900)</f>
        <v/>
      </c>
      <c r="T2140">
        <f>IMAGE("https://mitra.stanford.edu/kundaje/oak/projects/neuro-variants/variant_position/credible/roussos_2024/variant_figures/roussos_2024.childhood.Astrocyte/rs17049366_profile_position.png",4,220,900)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-0.0339545972</v>
      </c>
      <c r="G2141" t="n">
        <v>0.3191104053632278</v>
      </c>
      <c r="H2141" t="n">
        <v>0.0145118283717094</v>
      </c>
      <c r="I2141" t="n">
        <v>0.3243751787897451</v>
      </c>
      <c r="J2141" t="n">
        <v>0.0589376626746963</v>
      </c>
      <c r="K2141" t="n">
        <v>0.4162378027144764</v>
      </c>
      <c r="L2141" t="b">
        <v>0</v>
      </c>
      <c r="M2141" t="b">
        <v>0</v>
      </c>
      <c r="N2141" t="inlineStr">
        <is>
          <t>ref</t>
        </is>
      </c>
      <c r="O2141" t="n">
        <v>-15</v>
      </c>
      <c r="P2141" t="n">
        <v>0.001765</v>
      </c>
      <c r="Q2141" t="n">
        <v>-10</v>
      </c>
      <c r="R2141" t="n">
        <v>0.02881</v>
      </c>
      <c r="S2141">
        <f>IMAGE("https://mitra.stanford.edu/kundaje/oak/projects/neuro-variants/variant_position/credible/roussos_2024/variant_figures/roussos_2024.childhood.Astrocyte/rs848293_count_position.png",4,220,900)</f>
        <v/>
      </c>
      <c r="T2141">
        <f>IMAGE("https://mitra.stanford.edu/kundaje/oak/projects/neuro-variants/variant_position/credible/roussos_2024/variant_figures/roussos_2024.childhood.Astrocyte/rs848293_profile_position.png",4,220,900)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0.0746714014</v>
      </c>
      <c r="G2142" t="n">
        <v>0.1486866659182148</v>
      </c>
      <c r="H2142" t="n">
        <v>0.0150334768291451</v>
      </c>
      <c r="I2142" t="n">
        <v>0.3171034678244374</v>
      </c>
      <c r="J2142" t="n">
        <v>0.0535717829528366</v>
      </c>
      <c r="K2142" t="n">
        <v>0.4340967929156662</v>
      </c>
      <c r="L2142" t="b">
        <v>0</v>
      </c>
      <c r="M2142" t="b">
        <v>0</v>
      </c>
      <c r="N2142" t="inlineStr">
        <is>
          <t>alt</t>
        </is>
      </c>
      <c r="O2142" t="n">
        <v>-10</v>
      </c>
      <c r="P2142" t="n">
        <v>0.000717</v>
      </c>
      <c r="Q2142" t="n">
        <v>75</v>
      </c>
      <c r="R2142" t="n">
        <v>0.10486</v>
      </c>
      <c r="S2142">
        <f>IMAGE("https://mitra.stanford.edu/kundaje/oak/projects/neuro-variants/variant_position/credible/roussos_2024/variant_figures/roussos_2024.childhood.Astrocyte/rs113506287_count_position.png",4,220,900)</f>
        <v/>
      </c>
      <c r="T2142">
        <f>IMAGE("https://mitra.stanford.edu/kundaje/oak/projects/neuro-variants/variant_position/credible/roussos_2024/variant_figures/roussos_2024.childhood.Astrocyte/rs113506287_profile_position.png",4,220,900)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0.0073397367999999</v>
      </c>
      <c r="G2143" t="n">
        <v>0.5764193361189334</v>
      </c>
      <c r="H2143" t="n">
        <v>0.0273679344649784</v>
      </c>
      <c r="I2143" t="n">
        <v>0.0422937829457352</v>
      </c>
      <c r="J2143" t="n">
        <v>0.0063405921549769</v>
      </c>
      <c r="K2143" t="n">
        <v>0.7544188681153497</v>
      </c>
      <c r="L2143" t="b">
        <v>0</v>
      </c>
      <c r="M2143" t="b">
        <v>0</v>
      </c>
      <c r="N2143" t="inlineStr">
        <is>
          <t>alt</t>
        </is>
      </c>
      <c r="O2143" t="n">
        <v>-100</v>
      </c>
      <c r="P2143" t="n">
        <v>0.1238</v>
      </c>
      <c r="Q2143" t="n">
        <v>-80</v>
      </c>
      <c r="R2143" t="n">
        <v>0.1238</v>
      </c>
      <c r="S2143">
        <f>IMAGE("https://mitra.stanford.edu/kundaje/oak/projects/neuro-variants/variant_position/credible/roussos_2024/variant_figures/roussos_2024.childhood.Astrocyte/rs79064653_count_position.png",4,220,900)</f>
        <v/>
      </c>
      <c r="T2143">
        <f>IMAGE("https://mitra.stanford.edu/kundaje/oak/projects/neuro-variants/variant_position/credible/roussos_2024/variant_figures/roussos_2024.childhood.Astrocyte/rs79064653_profile_position.png",4,220,900)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0.0369849306</v>
      </c>
      <c r="G2144" t="n">
        <v>0.3200458405245279</v>
      </c>
      <c r="H2144" t="n">
        <v>0.0224748077764534</v>
      </c>
      <c r="I2144" t="n">
        <v>0.08609955443137871</v>
      </c>
      <c r="J2144" t="n">
        <v>0.0616946409898254</v>
      </c>
      <c r="K2144" t="n">
        <v>0.4052490141970603</v>
      </c>
      <c r="L2144" t="b">
        <v>0</v>
      </c>
      <c r="M2144" t="b">
        <v>0</v>
      </c>
      <c r="N2144" t="inlineStr">
        <is>
          <t>alt</t>
        </is>
      </c>
      <c r="O2144" t="n">
        <v>-45</v>
      </c>
      <c r="P2144" t="n">
        <v>0.007233</v>
      </c>
      <c r="Q2144" t="n">
        <v>-40</v>
      </c>
      <c r="R2144" t="n">
        <v>0.0668</v>
      </c>
      <c r="S2144">
        <f>IMAGE("https://mitra.stanford.edu/kundaje/oak/projects/neuro-variants/variant_position/credible/roussos_2024/variant_figures/roussos_2024.childhood.Astrocyte/rs79588315_count_position.png",4,220,900)</f>
        <v/>
      </c>
      <c r="T2144">
        <f>IMAGE("https://mitra.stanford.edu/kundaje/oak/projects/neuro-variants/variant_position/credible/roussos_2024/variant_figures/roussos_2024.childhood.Astrocyte/rs79588315_profile_position.png",4,220,900)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-0.0461534814</v>
      </c>
      <c r="G2145" t="n">
        <v>0.2700117261885048</v>
      </c>
      <c r="H2145" t="n">
        <v>0.013605249479976</v>
      </c>
      <c r="I2145" t="n">
        <v>0.3850027390242649</v>
      </c>
      <c r="J2145" t="n">
        <v>0.0014685565554562</v>
      </c>
      <c r="K2145" t="n">
        <v>0.8836146003833619</v>
      </c>
      <c r="L2145" t="b">
        <v>0</v>
      </c>
      <c r="M2145" t="b">
        <v>0</v>
      </c>
      <c r="N2145" t="inlineStr">
        <is>
          <t>ref</t>
        </is>
      </c>
      <c r="O2145" t="n">
        <v>80</v>
      </c>
      <c r="P2145" t="n">
        <v>0.007057</v>
      </c>
      <c r="Q2145" t="n">
        <v>100</v>
      </c>
      <c r="R2145" t="n">
        <v>0.04205</v>
      </c>
      <c r="S2145">
        <f>IMAGE("https://mitra.stanford.edu/kundaje/oak/projects/neuro-variants/variant_position/credible/roussos_2024/variant_figures/roussos_2024.childhood.Astrocyte/rs80099621_count_position.png",4,220,900)</f>
        <v/>
      </c>
      <c r="T2145">
        <f>IMAGE("https://mitra.stanford.edu/kundaje/oak/projects/neuro-variants/variant_position/credible/roussos_2024/variant_figures/roussos_2024.childhood.Astrocyte/rs80099621_profile_position.png",4,220,900)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0.325257792</v>
      </c>
      <c r="G2146" t="n">
        <v>0.0043294859751397</v>
      </c>
      <c r="H2146" t="n">
        <v>0.0458399370462719</v>
      </c>
      <c r="I2146" t="n">
        <v>0.0055894740961694</v>
      </c>
      <c r="J2146" t="n">
        <v>0.2108897590315464</v>
      </c>
      <c r="K2146" t="n">
        <v>0.2041768664884238</v>
      </c>
      <c r="L2146" t="b">
        <v>1</v>
      </c>
      <c r="M2146" t="b">
        <v>1</v>
      </c>
      <c r="N2146" t="inlineStr">
        <is>
          <t>alt</t>
        </is>
      </c>
      <c r="O2146" t="n">
        <v>75</v>
      </c>
      <c r="P2146" t="n">
        <v>0.01483</v>
      </c>
      <c r="Q2146" t="n">
        <v>95</v>
      </c>
      <c r="R2146" t="n">
        <v>0.06104</v>
      </c>
      <c r="S2146">
        <f>IMAGE("https://mitra.stanford.edu/kundaje/oak/projects/neuro-variants/variant_position/credible/roussos_2024/variant_figures/roussos_2024.childhood.Astrocyte/rs112144830_count_position.png",4,220,900)</f>
        <v/>
      </c>
      <c r="T2146">
        <f>IMAGE("https://mitra.stanford.edu/kundaje/oak/projects/neuro-variants/variant_position/credible/roussos_2024/variant_figures/roussos_2024.childhood.Astrocyte/rs112144830_profile_position.png",4,220,900)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-0.0464061802</v>
      </c>
      <c r="G2147" t="n">
        <v>0.2476140360955156</v>
      </c>
      <c r="H2147" t="n">
        <v>0.0106909788226231</v>
      </c>
      <c r="I2147" t="n">
        <v>0.6453513147400801</v>
      </c>
      <c r="J2147" t="n">
        <v>0.1074725408928884</v>
      </c>
      <c r="K2147" t="n">
        <v>0.3146766051575116</v>
      </c>
      <c r="L2147" t="b">
        <v>0</v>
      </c>
      <c r="M2147" t="b">
        <v>0</v>
      </c>
      <c r="N2147" t="inlineStr">
        <is>
          <t>ref</t>
        </is>
      </c>
      <c r="O2147" t="n">
        <v>45</v>
      </c>
      <c r="P2147" t="n">
        <v>0.001766</v>
      </c>
      <c r="Q2147" t="n">
        <v>-90</v>
      </c>
      <c r="R2147" t="n">
        <v>0.05902</v>
      </c>
      <c r="S2147">
        <f>IMAGE("https://mitra.stanford.edu/kundaje/oak/projects/neuro-variants/variant_position/credible/roussos_2024/variant_figures/roussos_2024.childhood.Astrocyte/rs184071680_count_position.png",4,220,900)</f>
        <v/>
      </c>
      <c r="T2147">
        <f>IMAGE("https://mitra.stanford.edu/kundaje/oak/projects/neuro-variants/variant_position/credible/roussos_2024/variant_figures/roussos_2024.childhood.Astrocyte/rs184071680_profile_position.png",4,220,900)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0.0853943192</v>
      </c>
      <c r="G2148" t="n">
        <v>0.0934266326152752</v>
      </c>
      <c r="H2148" t="n">
        <v>0.0217959985529031</v>
      </c>
      <c r="I2148" t="n">
        <v>0.0988347731961024</v>
      </c>
      <c r="J2148" t="n">
        <v>0.0462992222145893</v>
      </c>
      <c r="K2148" t="n">
        <v>0.4592065000535241</v>
      </c>
      <c r="L2148" t="b">
        <v>0</v>
      </c>
      <c r="M2148" t="b">
        <v>0</v>
      </c>
      <c r="N2148" t="inlineStr">
        <is>
          <t>alt</t>
        </is>
      </c>
      <c r="O2148" t="n">
        <v>55</v>
      </c>
      <c r="P2148" t="n">
        <v>0.005474</v>
      </c>
      <c r="Q2148" t="n">
        <v>65</v>
      </c>
      <c r="R2148" t="n">
        <v>0.0732</v>
      </c>
      <c r="S2148">
        <f>IMAGE("https://mitra.stanford.edu/kundaje/oak/projects/neuro-variants/variant_position/credible/roussos_2024/variant_figures/roussos_2024.childhood.Astrocyte/rs10199158_count_position.png",4,220,900)</f>
        <v/>
      </c>
      <c r="T2148">
        <f>IMAGE("https://mitra.stanford.edu/kundaje/oak/projects/neuro-variants/variant_position/credible/roussos_2024/variant_figures/roussos_2024.childhood.Astrocyte/rs10199158_profile_position.png",4,220,900)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0.0199050157</v>
      </c>
      <c r="G2149" t="n">
        <v>0.5122171562011234</v>
      </c>
      <c r="H2149" t="n">
        <v>0.0530597966989211</v>
      </c>
      <c r="I2149" t="n">
        <v>0.0031973375769366</v>
      </c>
      <c r="J2149" t="n">
        <v>0.0499278697533831</v>
      </c>
      <c r="K2149" t="n">
        <v>0.4458107942074871</v>
      </c>
      <c r="L2149" t="b">
        <v>1</v>
      </c>
      <c r="M2149" t="b">
        <v>0</v>
      </c>
      <c r="N2149" t="inlineStr">
        <is>
          <t>alt</t>
        </is>
      </c>
      <c r="O2149" t="n">
        <v>-15</v>
      </c>
      <c r="P2149" t="n">
        <v>0.001465</v>
      </c>
      <c r="Q2149" t="n">
        <v>75</v>
      </c>
      <c r="R2149" t="n">
        <v>0.1528</v>
      </c>
      <c r="S2149">
        <f>IMAGE("https://mitra.stanford.edu/kundaje/oak/projects/neuro-variants/variant_position/credible/roussos_2024/variant_figures/roussos_2024.childhood.Astrocyte/rs11691553_count_position.png",4,220,900)</f>
        <v/>
      </c>
      <c r="T2149">
        <f>IMAGE("https://mitra.stanford.edu/kundaje/oak/projects/neuro-variants/variant_position/credible/roussos_2024/variant_figures/roussos_2024.childhood.Astrocyte/rs11691553_profile_position.png",4,220,900)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-0.05100514</v>
      </c>
      <c r="G2150" t="n">
        <v>0.2212931646971536</v>
      </c>
      <c r="H2150" t="n">
        <v>0.0154876415484717</v>
      </c>
      <c r="I2150" t="n">
        <v>0.2798054732881183</v>
      </c>
      <c r="J2150" t="n">
        <v>0.0717424988359933</v>
      </c>
      <c r="K2150" t="n">
        <v>0.3870641272840895</v>
      </c>
      <c r="L2150" t="b">
        <v>0</v>
      </c>
      <c r="M2150" t="b">
        <v>0</v>
      </c>
      <c r="N2150" t="inlineStr">
        <is>
          <t>ref</t>
        </is>
      </c>
      <c r="O2150" t="n">
        <v>15</v>
      </c>
      <c r="P2150" t="n">
        <v>0.0054</v>
      </c>
      <c r="Q2150" t="n">
        <v>90</v>
      </c>
      <c r="R2150" t="n">
        <v>0.1421</v>
      </c>
      <c r="S2150">
        <f>IMAGE("https://mitra.stanford.edu/kundaje/oak/projects/neuro-variants/variant_position/credible/roussos_2024/variant_figures/roussos_2024.childhood.Astrocyte/rs13415334_count_position.png",4,220,900)</f>
        <v/>
      </c>
      <c r="T2150">
        <f>IMAGE("https://mitra.stanford.edu/kundaje/oak/projects/neuro-variants/variant_position/credible/roussos_2024/variant_figures/roussos_2024.childhood.Astrocyte/rs13415334_profile_position.png",4,220,900)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-0.0302585984</v>
      </c>
      <c r="G2151" t="n">
        <v>0.3986225725064194</v>
      </c>
      <c r="H2151" t="n">
        <v>0.0177805435276988</v>
      </c>
      <c r="I2151" t="n">
        <v>0.1838208241722526</v>
      </c>
      <c r="J2151" t="n">
        <v>0.0850320197232335</v>
      </c>
      <c r="K2151" t="n">
        <v>0.3556708514675907</v>
      </c>
      <c r="L2151" t="b">
        <v>0</v>
      </c>
      <c r="M2151" t="b">
        <v>0</v>
      </c>
      <c r="N2151" t="inlineStr">
        <is>
          <t>ref</t>
        </is>
      </c>
      <c r="O2151" t="n">
        <v>100</v>
      </c>
      <c r="P2151" t="n">
        <v>0.007786</v>
      </c>
      <c r="Q2151" t="n">
        <v>100</v>
      </c>
      <c r="R2151" t="n">
        <v>0.1633</v>
      </c>
      <c r="S2151">
        <f>IMAGE("https://mitra.stanford.edu/kundaje/oak/projects/neuro-variants/variant_position/credible/roussos_2024/variant_figures/roussos_2024.childhood.Astrocyte/rs974135_count_position.png",4,220,900)</f>
        <v/>
      </c>
      <c r="T2151">
        <f>IMAGE("https://mitra.stanford.edu/kundaje/oak/projects/neuro-variants/variant_position/credible/roussos_2024/variant_figures/roussos_2024.childhood.Astrocyte/rs974135_profile_position.png",4,220,900)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-0.01135274572</v>
      </c>
      <c r="G2152" t="n">
        <v>0.7040804505127302</v>
      </c>
      <c r="H2152" t="n">
        <v>0.0165893949190918</v>
      </c>
      <c r="I2152" t="n">
        <v>0.2326322243578841</v>
      </c>
      <c r="J2152" t="n">
        <v>0.0153366459816964</v>
      </c>
      <c r="K2152" t="n">
        <v>0.6424587224039092</v>
      </c>
      <c r="L2152" t="b">
        <v>0</v>
      </c>
      <c r="M2152" t="b">
        <v>0</v>
      </c>
      <c r="N2152" t="inlineStr">
        <is>
          <t>ref</t>
        </is>
      </c>
      <c r="O2152" t="n">
        <v>-80</v>
      </c>
      <c r="P2152" t="n">
        <v>0.008449999999999999</v>
      </c>
      <c r="Q2152" t="n">
        <v>-80</v>
      </c>
      <c r="R2152" t="n">
        <v>0.1489</v>
      </c>
      <c r="S2152">
        <f>IMAGE("https://mitra.stanford.edu/kundaje/oak/projects/neuro-variants/variant_position/credible/roussos_2024/variant_figures/roussos_2024.childhood.Astrocyte/rs12621957_count_position.png",4,220,900)</f>
        <v/>
      </c>
      <c r="T2152">
        <f>IMAGE("https://mitra.stanford.edu/kundaje/oak/projects/neuro-variants/variant_position/credible/roussos_2024/variant_figures/roussos_2024.childhood.Astrocyte/rs12621957_profile_position.png",4,220,900)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0.08045544860000001</v>
      </c>
      <c r="G2153" t="n">
        <v>0.1111582919720251</v>
      </c>
      <c r="H2153" t="n">
        <v>0.0286179037056413</v>
      </c>
      <c r="I2153" t="n">
        <v>0.0361266355054753</v>
      </c>
      <c r="J2153" t="n">
        <v>0.1320723897628479</v>
      </c>
      <c r="K2153" t="n">
        <v>0.2740561521686006</v>
      </c>
      <c r="L2153" t="b">
        <v>0</v>
      </c>
      <c r="M2153" t="b">
        <v>0</v>
      </c>
      <c r="N2153" t="inlineStr">
        <is>
          <t>alt</t>
        </is>
      </c>
      <c r="O2153" t="n">
        <v>-20</v>
      </c>
      <c r="P2153" t="n">
        <v>0.003891</v>
      </c>
      <c r="Q2153" t="n">
        <v>65</v>
      </c>
      <c r="R2153" t="n">
        <v>0.05103</v>
      </c>
      <c r="S2153">
        <f>IMAGE("https://mitra.stanford.edu/kundaje/oak/projects/neuro-variants/variant_position/credible/roussos_2024/variant_figures/roussos_2024.childhood.Astrocyte/rs17028290_count_position.png",4,220,900)</f>
        <v/>
      </c>
      <c r="T2153">
        <f>IMAGE("https://mitra.stanford.edu/kundaje/oak/projects/neuro-variants/variant_position/credible/roussos_2024/variant_figures/roussos_2024.childhood.Astrocyte/rs17028290_profile_position.png",4,220,900)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0.12576878</v>
      </c>
      <c r="G2154" t="n">
        <v>0.0450960555975969</v>
      </c>
      <c r="H2154" t="n">
        <v>0.0189953127647912</v>
      </c>
      <c r="I2154" t="n">
        <v>0.1506547275808243</v>
      </c>
      <c r="J2154" t="n">
        <v>0.09366627739231979</v>
      </c>
      <c r="K2154" t="n">
        <v>0.337894913852189</v>
      </c>
      <c r="L2154" t="b">
        <v>0</v>
      </c>
      <c r="M2154" t="b">
        <v>0</v>
      </c>
      <c r="N2154" t="inlineStr">
        <is>
          <t>alt</t>
        </is>
      </c>
      <c r="O2154" t="n">
        <v>95</v>
      </c>
      <c r="P2154" t="n">
        <v>0.01593</v>
      </c>
      <c r="Q2154" t="n">
        <v>85</v>
      </c>
      <c r="R2154" t="n">
        <v>0.1359</v>
      </c>
      <c r="S2154">
        <f>IMAGE("https://mitra.stanford.edu/kundaje/oak/projects/neuro-variants/variant_position/credible/roussos_2024/variant_figures/roussos_2024.childhood.Astrocyte/rs58469620_count_position.png",4,220,900)</f>
        <v/>
      </c>
      <c r="T2154">
        <f>IMAGE("https://mitra.stanford.edu/kundaje/oak/projects/neuro-variants/variant_position/credible/roussos_2024/variant_figures/roussos_2024.childhood.Astrocyte/rs58469620_profile_position.png",4,220,900)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-0.13497973</v>
      </c>
      <c r="G2155" t="n">
        <v>0.038983188534987</v>
      </c>
      <c r="H2155" t="n">
        <v>0.018327657075048</v>
      </c>
      <c r="I2155" t="n">
        <v>0.1739240450048681</v>
      </c>
      <c r="J2155" t="n">
        <v>0.08460000152656599</v>
      </c>
      <c r="K2155" t="n">
        <v>0.3529332700223872</v>
      </c>
      <c r="L2155" t="b">
        <v>0</v>
      </c>
      <c r="M2155" t="b">
        <v>0</v>
      </c>
      <c r="N2155" t="inlineStr">
        <is>
          <t>ref</t>
        </is>
      </c>
      <c r="O2155" t="n">
        <v>30</v>
      </c>
      <c r="P2155" t="n">
        <v>0.002838</v>
      </c>
      <c r="Q2155" t="n">
        <v>60</v>
      </c>
      <c r="R2155" t="n">
        <v>0.1035</v>
      </c>
      <c r="S2155">
        <f>IMAGE("https://mitra.stanford.edu/kundaje/oak/projects/neuro-variants/variant_position/credible/roussos_2024/variant_figures/roussos_2024.childhood.Astrocyte/rs7599488_count_position.png",4,220,900)</f>
        <v/>
      </c>
      <c r="T2155">
        <f>IMAGE("https://mitra.stanford.edu/kundaje/oak/projects/neuro-variants/variant_position/credible/roussos_2024/variant_figures/roussos_2024.childhood.Astrocyte/rs7599488_profile_position.png",4,220,900)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0.01176320486</v>
      </c>
      <c r="G2156" t="n">
        <v>0.6456740415838333</v>
      </c>
      <c r="H2156" t="n">
        <v>0.0309184341468113</v>
      </c>
      <c r="I2156" t="n">
        <v>0.0264510564520637</v>
      </c>
      <c r="J2156" t="n">
        <v>0.0457740834878981</v>
      </c>
      <c r="K2156" t="n">
        <v>0.4680609448327462</v>
      </c>
      <c r="L2156" t="b">
        <v>0</v>
      </c>
      <c r="M2156" t="b">
        <v>0</v>
      </c>
      <c r="N2156" t="inlineStr">
        <is>
          <t>alt</t>
        </is>
      </c>
      <c r="O2156" t="n">
        <v>-95</v>
      </c>
      <c r="P2156" t="n">
        <v>0.015045</v>
      </c>
      <c r="Q2156" t="n">
        <v>-90</v>
      </c>
      <c r="R2156" t="n">
        <v>0.2051</v>
      </c>
      <c r="S2156">
        <f>IMAGE("https://mitra.stanford.edu/kundaje/oak/projects/neuro-variants/variant_position/credible/roussos_2024/variant_figures/roussos_2024.childhood.Astrocyte/rs766432_count_position.png",4,220,900)</f>
        <v/>
      </c>
      <c r="T2156">
        <f>IMAGE("https://mitra.stanford.edu/kundaje/oak/projects/neuro-variants/variant_position/credible/roussos_2024/variant_figures/roussos_2024.childhood.Astrocyte/rs766432_profile_position.png",4,220,900)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0.07080282939999991</v>
      </c>
      <c r="G2157" t="n">
        <v>0.1358354801164524</v>
      </c>
      <c r="H2157" t="n">
        <v>0.0131632839385171</v>
      </c>
      <c r="I2157" t="n">
        <v>0.4113714895147323</v>
      </c>
      <c r="J2157" t="n">
        <v>0.0045873310282185</v>
      </c>
      <c r="K2157" t="n">
        <v>0.78551870083372</v>
      </c>
      <c r="L2157" t="b">
        <v>0</v>
      </c>
      <c r="M2157" t="b">
        <v>0</v>
      </c>
      <c r="N2157" t="inlineStr">
        <is>
          <t>alt</t>
        </is>
      </c>
      <c r="O2157" t="n">
        <v>-20</v>
      </c>
      <c r="P2157" t="n">
        <v>0.006813</v>
      </c>
      <c r="Q2157" t="n">
        <v>100</v>
      </c>
      <c r="R2157" t="n">
        <v>0.2744</v>
      </c>
      <c r="S2157">
        <f>IMAGE("https://mitra.stanford.edu/kundaje/oak/projects/neuro-variants/variant_position/credible/roussos_2024/variant_figures/roussos_2024.childhood.Astrocyte/rs12328348_count_position.png",4,220,900)</f>
        <v/>
      </c>
      <c r="T2157">
        <f>IMAGE("https://mitra.stanford.edu/kundaje/oak/projects/neuro-variants/variant_position/credible/roussos_2024/variant_figures/roussos_2024.childhood.Astrocyte/rs12328348_profile_position.png",4,220,900)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0.00478075916</v>
      </c>
      <c r="G2158" t="n">
        <v>0.7550559269161531</v>
      </c>
      <c r="H2158" t="n">
        <v>0.0104537862052276</v>
      </c>
      <c r="I2158" t="n">
        <v>0.6647302613308766</v>
      </c>
      <c r="J2158" t="n">
        <v>0.0556418065382824</v>
      </c>
      <c r="K2158" t="n">
        <v>0.4379215357366299</v>
      </c>
      <c r="L2158" t="b">
        <v>0</v>
      </c>
      <c r="M2158" t="b">
        <v>0</v>
      </c>
      <c r="N2158" t="inlineStr">
        <is>
          <t>alt</t>
        </is>
      </c>
      <c r="O2158" t="n">
        <v>-100</v>
      </c>
      <c r="P2158" t="n">
        <v>0.006332</v>
      </c>
      <c r="Q2158" t="n">
        <v>65</v>
      </c>
      <c r="R2158" t="n">
        <v>0.12195</v>
      </c>
      <c r="S2158">
        <f>IMAGE("https://mitra.stanford.edu/kundaje/oak/projects/neuro-variants/variant_position/credible/roussos_2024/variant_figures/roussos_2024.childhood.Astrocyte/rs356998_count_position.png",4,220,900)</f>
        <v/>
      </c>
      <c r="T2158">
        <f>IMAGE("https://mitra.stanford.edu/kundaje/oak/projects/neuro-variants/variant_position/credible/roussos_2024/variant_figures/roussos_2024.childhood.Astrocyte/rs356998_profile_position.png",4,220,900)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-0.00437706356</v>
      </c>
      <c r="G2159" t="n">
        <v>0.5981876686667238</v>
      </c>
      <c r="H2159" t="n">
        <v>0.0111793013757415</v>
      </c>
      <c r="I2159" t="n">
        <v>0.5878952300104994</v>
      </c>
      <c r="J2159" t="n">
        <v>0.011234762962454</v>
      </c>
      <c r="K2159" t="n">
        <v>0.7077283021684023</v>
      </c>
      <c r="L2159" t="b">
        <v>0</v>
      </c>
      <c r="M2159" t="b">
        <v>0</v>
      </c>
      <c r="N2159" t="inlineStr">
        <is>
          <t>ref</t>
        </is>
      </c>
      <c r="O2159" t="n">
        <v>-80</v>
      </c>
      <c r="P2159" t="n">
        <v>0.06433</v>
      </c>
      <c r="Q2159" t="n">
        <v>-85</v>
      </c>
      <c r="R2159" t="n">
        <v>0.2004</v>
      </c>
      <c r="S2159">
        <f>IMAGE("https://mitra.stanford.edu/kundaje/oak/projects/neuro-variants/variant_position/credible/roussos_2024/variant_figures/roussos_2024.childhood.Astrocyte/rs55710238_count_position.png",4,220,900)</f>
        <v/>
      </c>
      <c r="T2159">
        <f>IMAGE("https://mitra.stanford.edu/kundaje/oak/projects/neuro-variants/variant_position/credible/roussos_2024/variant_figures/roussos_2024.childhood.Astrocyte/rs55710238_profile_position.png",4,220,900)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0.0650737342</v>
      </c>
      <c r="G2160" t="n">
        <v>0.1727390207381292</v>
      </c>
      <c r="H2160" t="n">
        <v>0.0202472305379857</v>
      </c>
      <c r="I2160" t="n">
        <v>0.127903803224618</v>
      </c>
      <c r="J2160" t="n">
        <v>0.0446352652026897</v>
      </c>
      <c r="K2160" t="n">
        <v>0.4649258405234405</v>
      </c>
      <c r="L2160" t="b">
        <v>0</v>
      </c>
      <c r="M2160" t="b">
        <v>0</v>
      </c>
      <c r="N2160" t="inlineStr">
        <is>
          <t>alt</t>
        </is>
      </c>
      <c r="O2160" t="n">
        <v>-100</v>
      </c>
      <c r="P2160" t="n">
        <v>0.03452</v>
      </c>
      <c r="Q2160" t="n">
        <v>-95</v>
      </c>
      <c r="R2160" t="n">
        <v>0.1033</v>
      </c>
      <c r="S2160">
        <f>IMAGE("https://mitra.stanford.edu/kundaje/oak/projects/neuro-variants/variant_position/credible/roussos_2024/variant_figures/roussos_2024.childhood.Astrocyte/rs34419497_count_position.png",4,220,900)</f>
        <v/>
      </c>
      <c r="T2160">
        <f>IMAGE("https://mitra.stanford.edu/kundaje/oak/projects/neuro-variants/variant_position/credible/roussos_2024/variant_figures/roussos_2024.childhood.Astrocyte/rs34419497_profile_position.png",4,220,900)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-0.00196906608</v>
      </c>
      <c r="G2161" t="n">
        <v>0.8258869371270965</v>
      </c>
      <c r="H2161" t="n">
        <v>0.0255439900199153</v>
      </c>
      <c r="I2161" t="n">
        <v>0.0558804524858287</v>
      </c>
      <c r="J2161" t="n">
        <v>0.0032554021356658</v>
      </c>
      <c r="K2161" t="n">
        <v>0.8373506786270998</v>
      </c>
      <c r="L2161" t="b">
        <v>0</v>
      </c>
      <c r="M2161" t="b">
        <v>0</v>
      </c>
      <c r="N2161" t="inlineStr">
        <is>
          <t>ref</t>
        </is>
      </c>
      <c r="O2161" t="n">
        <v>-65</v>
      </c>
      <c r="P2161" t="n">
        <v>0.01387</v>
      </c>
      <c r="Q2161" t="n">
        <v>75</v>
      </c>
      <c r="R2161" t="n">
        <v>0.093</v>
      </c>
      <c r="S2161">
        <f>IMAGE("https://mitra.stanford.edu/kundaje/oak/projects/neuro-variants/variant_position/credible/roussos_2024/variant_figures/roussos_2024.childhood.Astrocyte/rs1430346_count_position.png",4,220,900)</f>
        <v/>
      </c>
      <c r="T2161">
        <f>IMAGE("https://mitra.stanford.edu/kundaje/oak/projects/neuro-variants/variant_position/credible/roussos_2024/variant_figures/roussos_2024.childhood.Astrocyte/rs1430346_profile_position.png",4,220,900)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-0.08704214</v>
      </c>
      <c r="G2162" t="n">
        <v>0.09976250733255709</v>
      </c>
      <c r="H2162" t="n">
        <v>0.016666074405763</v>
      </c>
      <c r="I2162" t="n">
        <v>0.2195807026482054</v>
      </c>
      <c r="J2162" t="n">
        <v>0.0211360704662895</v>
      </c>
      <c r="K2162" t="n">
        <v>0.5886534172093</v>
      </c>
      <c r="L2162" t="b">
        <v>0</v>
      </c>
      <c r="M2162" t="b">
        <v>0</v>
      </c>
      <c r="N2162" t="inlineStr">
        <is>
          <t>ref</t>
        </is>
      </c>
      <c r="O2162" t="n">
        <v>95</v>
      </c>
      <c r="P2162" t="n">
        <v>0.005737</v>
      </c>
      <c r="Q2162" t="n">
        <v>10</v>
      </c>
      <c r="R2162" t="n">
        <v>0.02087</v>
      </c>
      <c r="S2162">
        <f>IMAGE("https://mitra.stanford.edu/kundaje/oak/projects/neuro-variants/variant_position/credible/roussos_2024/variant_figures/roussos_2024.childhood.Astrocyte/rs60796597_count_position.png",4,220,900)</f>
        <v/>
      </c>
      <c r="T2162">
        <f>IMAGE("https://mitra.stanford.edu/kundaje/oak/projects/neuro-variants/variant_position/credible/roussos_2024/variant_figures/roussos_2024.childhood.Astrocyte/rs60796597_profile_position.png",4,220,900)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-0.0189612220199999</v>
      </c>
      <c r="G2163" t="n">
        <v>0.453793115545884</v>
      </c>
      <c r="H2163" t="n">
        <v>0.008018896959607599</v>
      </c>
      <c r="I2163" t="n">
        <v>0.8937784621224966</v>
      </c>
      <c r="J2163" t="n">
        <v>0.0417660842817124</v>
      </c>
      <c r="K2163" t="n">
        <v>0.5291627489483667</v>
      </c>
      <c r="L2163" t="b">
        <v>0</v>
      </c>
      <c r="M2163" t="b">
        <v>0</v>
      </c>
      <c r="N2163" t="inlineStr">
        <is>
          <t>ref</t>
        </is>
      </c>
      <c r="O2163" t="n">
        <v>-95</v>
      </c>
      <c r="P2163" t="n">
        <v>0.00529</v>
      </c>
      <c r="Q2163" t="n">
        <v>-95</v>
      </c>
      <c r="R2163" t="n">
        <v>0.083</v>
      </c>
      <c r="S2163">
        <f>IMAGE("https://mitra.stanford.edu/kundaje/oak/projects/neuro-variants/variant_position/credible/roussos_2024/variant_figures/roussos_2024.childhood.Astrocyte/rs7604588_count_position.png",4,220,900)</f>
        <v/>
      </c>
      <c r="T2163">
        <f>IMAGE("https://mitra.stanford.edu/kundaje/oak/projects/neuro-variants/variant_position/credible/roussos_2024/variant_figures/roussos_2024.childhood.Astrocyte/rs7604588_profile_position.png",4,220,900)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0.006074291054</v>
      </c>
      <c r="G2164" t="n">
        <v>0.7005660393086794</v>
      </c>
      <c r="H2164" t="n">
        <v>0.027793213945082</v>
      </c>
      <c r="I2164" t="n">
        <v>0.0404313442851438</v>
      </c>
      <c r="J2164" t="n">
        <v>0.008136597131582299</v>
      </c>
      <c r="K2164" t="n">
        <v>0.7159544250980902</v>
      </c>
      <c r="L2164" t="b">
        <v>0</v>
      </c>
      <c r="M2164" t="b">
        <v>0</v>
      </c>
      <c r="N2164" t="inlineStr">
        <is>
          <t>alt</t>
        </is>
      </c>
      <c r="O2164" t="n">
        <v>70</v>
      </c>
      <c r="P2164" t="n">
        <v>0.01196</v>
      </c>
      <c r="Q2164" t="n">
        <v>-95</v>
      </c>
      <c r="R2164" t="n">
        <v>0.07086000000000001</v>
      </c>
      <c r="S2164">
        <f>IMAGE("https://mitra.stanford.edu/kundaje/oak/projects/neuro-variants/variant_position/credible/roussos_2024/variant_figures/roussos_2024.childhood.Astrocyte/rs6546822_count_position.png",4,220,900)</f>
        <v/>
      </c>
      <c r="T2164">
        <f>IMAGE("https://mitra.stanford.edu/kundaje/oak/projects/neuro-variants/variant_position/credible/roussos_2024/variant_figures/roussos_2024.childhood.Astrocyte/rs6546822_profile_position.png",4,220,900)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-0.09277563637199999</v>
      </c>
      <c r="G2165" t="n">
        <v>0.09431727448026581</v>
      </c>
      <c r="H2165" t="n">
        <v>0.0158453622042436</v>
      </c>
      <c r="I2165" t="n">
        <v>0.2512646354740501</v>
      </c>
      <c r="J2165" t="n">
        <v>0.0150595742407241</v>
      </c>
      <c r="K2165" t="n">
        <v>0.6852733685251602</v>
      </c>
      <c r="L2165" t="b">
        <v>0</v>
      </c>
      <c r="M2165" t="b">
        <v>0</v>
      </c>
      <c r="N2165" t="inlineStr">
        <is>
          <t>ref</t>
        </is>
      </c>
      <c r="O2165" t="n">
        <v>75</v>
      </c>
      <c r="P2165" t="n">
        <v>0.00795</v>
      </c>
      <c r="Q2165" t="n">
        <v>60</v>
      </c>
      <c r="R2165" t="n">
        <v>0.0759</v>
      </c>
      <c r="S2165">
        <f>IMAGE("https://mitra.stanford.edu/kundaje/oak/projects/neuro-variants/variant_position/credible/roussos_2024/variant_figures/roussos_2024.childhood.Astrocyte/rs1522926_count_position.png",4,220,900)</f>
        <v/>
      </c>
      <c r="T2165">
        <f>IMAGE("https://mitra.stanford.edu/kundaje/oak/projects/neuro-variants/variant_position/credible/roussos_2024/variant_figures/roussos_2024.childhood.Astrocyte/rs1522926_profile_position.png",4,220,900)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0.0236906792</v>
      </c>
      <c r="G2166" t="n">
        <v>0.3526068565625567</v>
      </c>
      <c r="H2166" t="n">
        <v>0.0327798629484539</v>
      </c>
      <c r="I2166" t="n">
        <v>0.0264156171535846</v>
      </c>
      <c r="J2166" t="n">
        <v>0.0025730271041804</v>
      </c>
      <c r="K2166" t="n">
        <v>0.8359111338807828</v>
      </c>
      <c r="L2166" t="b">
        <v>0</v>
      </c>
      <c r="M2166" t="b">
        <v>0</v>
      </c>
      <c r="N2166" t="inlineStr">
        <is>
          <t>alt</t>
        </is>
      </c>
      <c r="O2166" t="n">
        <v>-5</v>
      </c>
      <c r="P2166" t="n">
        <v>0.000763</v>
      </c>
      <c r="Q2166" t="n">
        <v>100</v>
      </c>
      <c r="R2166" t="n">
        <v>0.08026</v>
      </c>
      <c r="S2166">
        <f>IMAGE("https://mitra.stanford.edu/kundaje/oak/projects/neuro-variants/variant_position/credible/roussos_2024/variant_figures/roussos_2024.childhood.Astrocyte/rs6546827_count_position.png",4,220,900)</f>
        <v/>
      </c>
      <c r="T2166">
        <f>IMAGE("https://mitra.stanford.edu/kundaje/oak/projects/neuro-variants/variant_position/credible/roussos_2024/variant_figures/roussos_2024.childhood.Astrocyte/rs6546827_profile_position.png",4,220,900)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-0.008329647440000001</v>
      </c>
      <c r="G2167" t="n">
        <v>0.7839004814658225</v>
      </c>
      <c r="H2167" t="n">
        <v>0.0371062950724017</v>
      </c>
      <c r="I2167" t="n">
        <v>0.0128879237571022</v>
      </c>
      <c r="J2167" t="n">
        <v>0.0003831680825566</v>
      </c>
      <c r="K2167" t="n">
        <v>0.9513308433118826</v>
      </c>
      <c r="L2167" t="b">
        <v>0</v>
      </c>
      <c r="M2167" t="b">
        <v>0</v>
      </c>
      <c r="N2167" t="inlineStr">
        <is>
          <t>ref</t>
        </is>
      </c>
      <c r="O2167" t="n">
        <v>-45</v>
      </c>
      <c r="P2167" t="n">
        <v>0.004944</v>
      </c>
      <c r="Q2167" t="n">
        <v>45</v>
      </c>
      <c r="R2167" t="n">
        <v>0.02661</v>
      </c>
      <c r="S2167">
        <f>IMAGE("https://mitra.stanford.edu/kundaje/oak/projects/neuro-variants/variant_position/credible/roussos_2024/variant_figures/roussos_2024.childhood.Astrocyte/rs56672945_count_position.png",4,220,900)</f>
        <v/>
      </c>
      <c r="T2167">
        <f>IMAGE("https://mitra.stanford.edu/kundaje/oak/projects/neuro-variants/variant_position/credible/roussos_2024/variant_figures/roussos_2024.childhood.Astrocyte/rs56672945_profile_position.png",4,220,900)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-0.01441295072</v>
      </c>
      <c r="G2168" t="n">
        <v>0.6451787864604454</v>
      </c>
      <c r="H2168" t="n">
        <v>0.0352727127378246</v>
      </c>
      <c r="I2168" t="n">
        <v>0.0162673942995251</v>
      </c>
      <c r="J2168" t="n">
        <v>0.0001328112477387</v>
      </c>
      <c r="K2168" t="n">
        <v>0.9798774214729452</v>
      </c>
      <c r="L2168" t="b">
        <v>0</v>
      </c>
      <c r="M2168" t="b">
        <v>0</v>
      </c>
      <c r="N2168" t="inlineStr">
        <is>
          <t>ref</t>
        </is>
      </c>
      <c r="O2168" t="n">
        <v>-95</v>
      </c>
      <c r="P2168" t="n">
        <v>0.01366</v>
      </c>
      <c r="Q2168" t="n">
        <v>35</v>
      </c>
      <c r="R2168" t="n">
        <v>0.0873</v>
      </c>
      <c r="S2168">
        <f>IMAGE("https://mitra.stanford.edu/kundaje/oak/projects/neuro-variants/variant_position/credible/roussos_2024/variant_figures/roussos_2024.childhood.Astrocyte/rs10179134_count_position.png",4,220,900)</f>
        <v/>
      </c>
      <c r="T2168">
        <f>IMAGE("https://mitra.stanford.edu/kundaje/oak/projects/neuro-variants/variant_position/credible/roussos_2024/variant_figures/roussos_2024.childhood.Astrocyte/rs10179134_profile_position.png",4,220,900)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0.2736627439999999</v>
      </c>
      <c r="G2169" t="n">
        <v>0.0071436061229349</v>
      </c>
      <c r="H2169" t="n">
        <v>0.0425871260911409</v>
      </c>
      <c r="I2169" t="n">
        <v>0.007829765696750699</v>
      </c>
      <c r="J2169" t="n">
        <v>0.1010365383587888</v>
      </c>
      <c r="K2169" t="n">
        <v>0.3290006834026891</v>
      </c>
      <c r="L2169" t="b">
        <v>1</v>
      </c>
      <c r="M2169" t="b">
        <v>1</v>
      </c>
      <c r="N2169" t="inlineStr">
        <is>
          <t>alt</t>
        </is>
      </c>
      <c r="O2169" t="n">
        <v>-20</v>
      </c>
      <c r="P2169" t="n">
        <v>0.005814</v>
      </c>
      <c r="Q2169" t="n">
        <v>-90</v>
      </c>
      <c r="R2169" t="n">
        <v>0.08057</v>
      </c>
      <c r="S2169">
        <f>IMAGE("https://mitra.stanford.edu/kundaje/oak/projects/neuro-variants/variant_position/credible/roussos_2024/variant_figures/roussos_2024.childhood.Astrocyte/rs6753344_count_position.png",4,220,900)</f>
        <v/>
      </c>
      <c r="T2169">
        <f>IMAGE("https://mitra.stanford.edu/kundaje/oak/projects/neuro-variants/variant_position/credible/roussos_2024/variant_figures/roussos_2024.childhood.Astrocyte/rs6753344_profile_position.png",4,220,900)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0.16121208</v>
      </c>
      <c r="G2170" t="n">
        <v>0.0267060131989834</v>
      </c>
      <c r="H2170" t="n">
        <v>0.0236785192551211</v>
      </c>
      <c r="I2170" t="n">
        <v>0.07392368487624219</v>
      </c>
      <c r="J2170" t="n">
        <v>0.1874737621457412</v>
      </c>
      <c r="K2170" t="n">
        <v>0.2190745212889078</v>
      </c>
      <c r="L2170" t="b">
        <v>0</v>
      </c>
      <c r="M2170" t="b">
        <v>0</v>
      </c>
      <c r="N2170" t="inlineStr">
        <is>
          <t>alt</t>
        </is>
      </c>
      <c r="O2170" t="n">
        <v>-100</v>
      </c>
      <c r="P2170" t="n">
        <v>0.01239</v>
      </c>
      <c r="Q2170" t="n">
        <v>-50</v>
      </c>
      <c r="R2170" t="n">
        <v>0.1422</v>
      </c>
      <c r="S2170">
        <f>IMAGE("https://mitra.stanford.edu/kundaje/oak/projects/neuro-variants/variant_position/credible/roussos_2024/variant_figures/roussos_2024.childhood.Astrocyte/rs6546837_count_position.png",4,220,900)</f>
        <v/>
      </c>
      <c r="T2170">
        <f>IMAGE("https://mitra.stanford.edu/kundaje/oak/projects/neuro-variants/variant_position/credible/roussos_2024/variant_figures/roussos_2024.childhood.Astrocyte/rs6546837_profile_position.png",4,220,900)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0.01409242866</v>
      </c>
      <c r="G2171" t="n">
        <v>0.4666077449612061</v>
      </c>
      <c r="H2171" t="n">
        <v>0.017347558374727</v>
      </c>
      <c r="I2171" t="n">
        <v>0.1945887255973121</v>
      </c>
      <c r="J2171" t="n">
        <v>0.0561173318678298</v>
      </c>
      <c r="K2171" t="n">
        <v>0.4278378968529923</v>
      </c>
      <c r="L2171" t="b">
        <v>0</v>
      </c>
      <c r="M2171" t="b">
        <v>0</v>
      </c>
      <c r="N2171" t="inlineStr">
        <is>
          <t>alt</t>
        </is>
      </c>
      <c r="O2171" t="n">
        <v>75</v>
      </c>
      <c r="P2171" t="n">
        <v>0.002182</v>
      </c>
      <c r="Q2171" t="n">
        <v>-90</v>
      </c>
      <c r="R2171" t="n">
        <v>0.09326</v>
      </c>
      <c r="S2171">
        <f>IMAGE("https://mitra.stanford.edu/kundaje/oak/projects/neuro-variants/variant_position/credible/roussos_2024/variant_figures/roussos_2024.childhood.Astrocyte/rs62151652_count_position.png",4,220,900)</f>
        <v/>
      </c>
      <c r="T2171">
        <f>IMAGE("https://mitra.stanford.edu/kundaje/oak/projects/neuro-variants/variant_position/credible/roussos_2024/variant_figures/roussos_2024.childhood.Astrocyte/rs62151652_profile_position.png",4,220,900)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0.0496648623999999</v>
      </c>
      <c r="G2172" t="n">
        <v>0.2084333437262638</v>
      </c>
      <c r="H2172" t="n">
        <v>0.0115583278221386</v>
      </c>
      <c r="I2172" t="n">
        <v>0.5543735340727878</v>
      </c>
      <c r="J2172" t="n">
        <v>0.1266103363788325</v>
      </c>
      <c r="K2172" t="n">
        <v>0.2902760036482075</v>
      </c>
      <c r="L2172" t="b">
        <v>0</v>
      </c>
      <c r="M2172" t="b">
        <v>0</v>
      </c>
      <c r="N2172" t="inlineStr">
        <is>
          <t>alt</t>
        </is>
      </c>
      <c r="O2172" t="n">
        <v>100</v>
      </c>
      <c r="P2172" t="n">
        <v>0.03458</v>
      </c>
      <c r="Q2172" t="n">
        <v>-50</v>
      </c>
      <c r="R2172" t="n">
        <v>0.0814</v>
      </c>
      <c r="S2172">
        <f>IMAGE("https://mitra.stanford.edu/kundaje/oak/projects/neuro-variants/variant_position/credible/roussos_2024/variant_figures/roussos_2024.childhood.Astrocyte/rs10195357_count_position.png",4,220,900)</f>
        <v/>
      </c>
      <c r="T2172">
        <f>IMAGE("https://mitra.stanford.edu/kundaje/oak/projects/neuro-variants/variant_position/credible/roussos_2024/variant_figures/roussos_2024.childhood.Astrocyte/rs10195357_profile_position.png",4,220,900)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-0.0336139194</v>
      </c>
      <c r="G2173" t="n">
        <v>0.3468472043462271</v>
      </c>
      <c r="H2173" t="n">
        <v>0.0345970030000754</v>
      </c>
      <c r="I2173" t="n">
        <v>0.0169671920324861</v>
      </c>
      <c r="J2173" t="n">
        <v>0.0166929999313044</v>
      </c>
      <c r="K2173" t="n">
        <v>0.6198547546802179</v>
      </c>
      <c r="L2173" t="b">
        <v>1</v>
      </c>
      <c r="M2173" t="b">
        <v>0</v>
      </c>
      <c r="N2173" t="inlineStr">
        <is>
          <t>ref</t>
        </is>
      </c>
      <c r="O2173" t="n">
        <v>100</v>
      </c>
      <c r="P2173" t="n">
        <v>0.1544</v>
      </c>
      <c r="Q2173" t="n">
        <v>-100</v>
      </c>
      <c r="R2173" t="n">
        <v>0.1694</v>
      </c>
      <c r="S2173">
        <f>IMAGE("https://mitra.stanford.edu/kundaje/oak/projects/neuro-variants/variant_position/credible/roussos_2024/variant_figures/roussos_2024.childhood.Astrocyte/rs13421462_count_position.png",4,220,900)</f>
        <v/>
      </c>
      <c r="T2173">
        <f>IMAGE("https://mitra.stanford.edu/kundaje/oak/projects/neuro-variants/variant_position/credible/roussos_2024/variant_figures/roussos_2024.childhood.Astrocyte/rs13421462_profile_position.png",4,220,900)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0.0202504306</v>
      </c>
      <c r="G2174" t="n">
        <v>0.520028201787193</v>
      </c>
      <c r="H2174" t="n">
        <v>0.0235884018286177</v>
      </c>
      <c r="I2174" t="n">
        <v>0.07218543534453881</v>
      </c>
      <c r="J2174" t="n">
        <v>0.0045079495927884</v>
      </c>
      <c r="K2174" t="n">
        <v>0.7827165413973602</v>
      </c>
      <c r="L2174" t="b">
        <v>0</v>
      </c>
      <c r="M2174" t="b">
        <v>0</v>
      </c>
      <c r="N2174" t="inlineStr">
        <is>
          <t>alt</t>
        </is>
      </c>
      <c r="O2174" t="n">
        <v>-100</v>
      </c>
      <c r="P2174" t="n">
        <v>0.2097</v>
      </c>
      <c r="Q2174" t="n">
        <v>-100</v>
      </c>
      <c r="R2174" t="n">
        <v>0.1251</v>
      </c>
      <c r="S2174">
        <f>IMAGE("https://mitra.stanford.edu/kundaje/oak/projects/neuro-variants/variant_position/credible/roussos_2024/variant_figures/roussos_2024.childhood.Astrocyte/rs13398956_count_position.png",4,220,900)</f>
        <v/>
      </c>
      <c r="T2174">
        <f>IMAGE("https://mitra.stanford.edu/kundaje/oak/projects/neuro-variants/variant_position/credible/roussos_2024/variant_figures/roussos_2024.childhood.Astrocyte/rs13398956_profile_position.png",4,220,900)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0.0454137382</v>
      </c>
      <c r="G2175" t="n">
        <v>0.2384753693796563</v>
      </c>
      <c r="H2175" t="n">
        <v>0.0104902061870763</v>
      </c>
      <c r="I2175" t="n">
        <v>0.6647026803835674</v>
      </c>
      <c r="J2175" t="n">
        <v>0.0061154236602474</v>
      </c>
      <c r="K2175" t="n">
        <v>0.7509459000502535</v>
      </c>
      <c r="L2175" t="b">
        <v>0</v>
      </c>
      <c r="M2175" t="b">
        <v>0</v>
      </c>
      <c r="N2175" t="inlineStr">
        <is>
          <t>alt</t>
        </is>
      </c>
      <c r="O2175" t="n">
        <v>90</v>
      </c>
      <c r="P2175" t="n">
        <v>0.008675</v>
      </c>
      <c r="Q2175" t="n">
        <v>30</v>
      </c>
      <c r="R2175" t="n">
        <v>0.0381</v>
      </c>
      <c r="S2175">
        <f>IMAGE("https://mitra.stanford.edu/kundaje/oak/projects/neuro-variants/variant_position/credible/roussos_2024/variant_figures/roussos_2024.childhood.Astrocyte/rs73947808_count_position.png",4,220,900)</f>
        <v/>
      </c>
      <c r="T2175">
        <f>IMAGE("https://mitra.stanford.edu/kundaje/oak/projects/neuro-variants/variant_position/credible/roussos_2024/variant_figures/roussos_2024.childhood.Astrocyte/rs73947808_profile_position.png",4,220,900)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0.0403725002</v>
      </c>
      <c r="G2176" t="n">
        <v>0.3045987171090921</v>
      </c>
      <c r="H2176" t="n">
        <v>0.0197287552582459</v>
      </c>
      <c r="I2176" t="n">
        <v>0.1326655604713098</v>
      </c>
      <c r="J2176" t="n">
        <v>0.00193034279041</v>
      </c>
      <c r="K2176" t="n">
        <v>0.8876994845320311</v>
      </c>
      <c r="L2176" t="b">
        <v>0</v>
      </c>
      <c r="M2176" t="b">
        <v>0</v>
      </c>
      <c r="N2176" t="inlineStr">
        <is>
          <t>alt</t>
        </is>
      </c>
      <c r="O2176" t="n">
        <v>65</v>
      </c>
      <c r="P2176" t="n">
        <v>0.002531</v>
      </c>
      <c r="Q2176" t="n">
        <v>65</v>
      </c>
      <c r="R2176" t="n">
        <v>0.06067</v>
      </c>
      <c r="S2176">
        <f>IMAGE("https://mitra.stanford.edu/kundaje/oak/projects/neuro-variants/variant_position/credible/roussos_2024/variant_figures/roussos_2024.childhood.Astrocyte/rs11693586_count_position.png",4,220,900)</f>
        <v/>
      </c>
      <c r="T2176">
        <f>IMAGE("https://mitra.stanford.edu/kundaje/oak/projects/neuro-variants/variant_position/credible/roussos_2024/variant_figures/roussos_2024.childhood.Astrocyte/rs11693586_profile_position.png",4,220,900)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0.0387532343999999</v>
      </c>
      <c r="G2177" t="n">
        <v>0.2934888497735335</v>
      </c>
      <c r="H2177" t="n">
        <v>0.0175723692176301</v>
      </c>
      <c r="I2177" t="n">
        <v>0.1910121728495284</v>
      </c>
      <c r="J2177" t="n">
        <v>0.0020165937731369</v>
      </c>
      <c r="K2177" t="n">
        <v>0.8856174603680521</v>
      </c>
      <c r="L2177" t="b">
        <v>0</v>
      </c>
      <c r="M2177" t="b">
        <v>0</v>
      </c>
      <c r="N2177" t="inlineStr">
        <is>
          <t>alt</t>
        </is>
      </c>
      <c r="O2177" t="n">
        <v>60</v>
      </c>
      <c r="P2177" t="n">
        <v>0.00301</v>
      </c>
      <c r="Q2177" t="n">
        <v>0</v>
      </c>
      <c r="R2177" t="n">
        <v>0</v>
      </c>
      <c r="S2177">
        <f>IMAGE("https://mitra.stanford.edu/kundaje/oak/projects/neuro-variants/variant_position/credible/roussos_2024/variant_figures/roussos_2024.childhood.Astrocyte/rs11693588_count_position.png",4,220,900)</f>
        <v/>
      </c>
      <c r="T2177">
        <f>IMAGE("https://mitra.stanford.edu/kundaje/oak/projects/neuro-variants/variant_position/credible/roussos_2024/variant_figures/roussos_2024.childhood.Astrocyte/rs11693588_profile_position.png",4,220,900)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0.00720001886</v>
      </c>
      <c r="G2178" t="n">
        <v>0.7925187099339385</v>
      </c>
      <c r="H2178" t="n">
        <v>0.0260744035896192</v>
      </c>
      <c r="I2178" t="n">
        <v>0.0503517712437457</v>
      </c>
      <c r="J2178" t="n">
        <v>0.0041705784922106</v>
      </c>
      <c r="K2178" t="n">
        <v>0.7929251264415677</v>
      </c>
      <c r="L2178" t="b">
        <v>0</v>
      </c>
      <c r="M2178" t="b">
        <v>0</v>
      </c>
      <c r="N2178" t="inlineStr">
        <is>
          <t>alt</t>
        </is>
      </c>
      <c r="O2178" t="n">
        <v>-5</v>
      </c>
      <c r="P2178" t="n">
        <v>0.0001221</v>
      </c>
      <c r="Q2178" t="n">
        <v>-5</v>
      </c>
      <c r="R2178" t="n">
        <v>0.008240000000000001</v>
      </c>
      <c r="S2178">
        <f>IMAGE("https://mitra.stanford.edu/kundaje/oak/projects/neuro-variants/variant_position/credible/roussos_2024/variant_figures/roussos_2024.childhood.Astrocyte/rs6711033_count_position.png",4,220,900)</f>
        <v/>
      </c>
      <c r="T2178">
        <f>IMAGE("https://mitra.stanford.edu/kundaje/oak/projects/neuro-variants/variant_position/credible/roussos_2024/variant_figures/roussos_2024.childhood.Astrocyte/rs6711033_profile_position.png",4,220,900)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0.0432532502</v>
      </c>
      <c r="G2179" t="n">
        <v>0.2550782014618445</v>
      </c>
      <c r="H2179" t="n">
        <v>0.0140230442885541</v>
      </c>
      <c r="I2179" t="n">
        <v>0.3549684313429286</v>
      </c>
      <c r="J2179" t="n">
        <v>0.0036324639539587</v>
      </c>
      <c r="K2179" t="n">
        <v>0.8070896291903388</v>
      </c>
      <c r="L2179" t="b">
        <v>0</v>
      </c>
      <c r="M2179" t="b">
        <v>0</v>
      </c>
      <c r="N2179" t="inlineStr">
        <is>
          <t>alt</t>
        </is>
      </c>
      <c r="O2179" t="n">
        <v>-100</v>
      </c>
      <c r="P2179" t="n">
        <v>0.005043</v>
      </c>
      <c r="Q2179" t="n">
        <v>-50</v>
      </c>
      <c r="R2179" t="n">
        <v>0.05487</v>
      </c>
      <c r="S2179">
        <f>IMAGE("https://mitra.stanford.edu/kundaje/oak/projects/neuro-variants/variant_position/credible/roussos_2024/variant_figures/roussos_2024.childhood.Astrocyte/rs11884776_count_position.png",4,220,900)</f>
        <v/>
      </c>
      <c r="T2179">
        <f>IMAGE("https://mitra.stanford.edu/kundaje/oak/projects/neuro-variants/variant_position/credible/roussos_2024/variant_figures/roussos_2024.childhood.Astrocyte/rs11884776_profile_position.png",4,220,900)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-0.0139783846599999</v>
      </c>
      <c r="G2180" t="n">
        <v>0.655894124575878</v>
      </c>
      <c r="H2180" t="n">
        <v>0.0349004380392973</v>
      </c>
      <c r="I2180" t="n">
        <v>0.017049441025295</v>
      </c>
      <c r="J2180" t="n">
        <v>0.0869951836840618</v>
      </c>
      <c r="K2180" t="n">
        <v>0.3512771193637948</v>
      </c>
      <c r="L2180" t="b">
        <v>1</v>
      </c>
      <c r="M2180" t="b">
        <v>0</v>
      </c>
      <c r="N2180" t="inlineStr">
        <is>
          <t>ref</t>
        </is>
      </c>
      <c r="O2180" t="n">
        <v>-100</v>
      </c>
      <c r="P2180" t="n">
        <v>0.02487</v>
      </c>
      <c r="Q2180" t="n">
        <v>100</v>
      </c>
      <c r="R2180" t="n">
        <v>0.04495</v>
      </c>
      <c r="S2180">
        <f>IMAGE("https://mitra.stanford.edu/kundaje/oak/projects/neuro-variants/variant_position/credible/roussos_2024/variant_figures/roussos_2024.childhood.Astrocyte/rs6719753_count_position.png",4,220,900)</f>
        <v/>
      </c>
      <c r="T2180">
        <f>IMAGE("https://mitra.stanford.edu/kundaje/oak/projects/neuro-variants/variant_position/credible/roussos_2024/variant_figures/roussos_2024.childhood.Astrocyte/rs6719753_profile_position.png",4,220,900)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-0.09837721279999991</v>
      </c>
      <c r="G2181" t="n">
        <v>0.07973004728080101</v>
      </c>
      <c r="H2181" t="n">
        <v>0.0210536704879089</v>
      </c>
      <c r="I2181" t="n">
        <v>0.1169611652392513</v>
      </c>
      <c r="J2181" t="n">
        <v>0.0017769229007807</v>
      </c>
      <c r="K2181" t="n">
        <v>0.898778292361751</v>
      </c>
      <c r="L2181" t="b">
        <v>0</v>
      </c>
      <c r="M2181" t="b">
        <v>0</v>
      </c>
      <c r="N2181" t="inlineStr">
        <is>
          <t>ref</t>
        </is>
      </c>
      <c r="O2181" t="n">
        <v>100</v>
      </c>
      <c r="P2181" t="n">
        <v>0.005615</v>
      </c>
      <c r="Q2181" t="n">
        <v>75</v>
      </c>
      <c r="R2181" t="n">
        <v>0.09093999999999999</v>
      </c>
      <c r="S2181">
        <f>IMAGE("https://mitra.stanford.edu/kundaje/oak/projects/neuro-variants/variant_position/credible/roussos_2024/variant_figures/roussos_2024.childhood.Astrocyte/rs13409668_count_position.png",4,220,900)</f>
        <v/>
      </c>
      <c r="T2181">
        <f>IMAGE("https://mitra.stanford.edu/kundaje/oak/projects/neuro-variants/variant_position/credible/roussos_2024/variant_figures/roussos_2024.childhood.Astrocyte/rs13409668_profile_position.png",4,220,900)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-0.1244194319999999</v>
      </c>
      <c r="G2182" t="n">
        <v>0.0485006679109026</v>
      </c>
      <c r="H2182" t="n">
        <v>0.0194146851311167</v>
      </c>
      <c r="I2182" t="n">
        <v>0.1476502296437825</v>
      </c>
      <c r="J2182" t="n">
        <v>0.0357445444345217</v>
      </c>
      <c r="K2182" t="n">
        <v>0.498212881410659</v>
      </c>
      <c r="L2182" t="b">
        <v>0</v>
      </c>
      <c r="M2182" t="b">
        <v>0</v>
      </c>
      <c r="N2182" t="inlineStr">
        <is>
          <t>ref</t>
        </is>
      </c>
      <c r="O2182" t="n">
        <v>-75</v>
      </c>
      <c r="P2182" t="n">
        <v>0.002197</v>
      </c>
      <c r="Q2182" t="n">
        <v>70</v>
      </c>
      <c r="R2182" t="n">
        <v>0.05298</v>
      </c>
      <c r="S2182">
        <f>IMAGE("https://mitra.stanford.edu/kundaje/oak/projects/neuro-variants/variant_position/credible/roussos_2024/variant_figures/roussos_2024.childhood.Astrocyte/rs7566385_count_position.png",4,220,900)</f>
        <v/>
      </c>
      <c r="T2182">
        <f>IMAGE("https://mitra.stanford.edu/kundaje/oak/projects/neuro-variants/variant_position/credible/roussos_2024/variant_figures/roussos_2024.childhood.Astrocyte/rs7566385_profile_position.png",4,220,900)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0.0222591538399999</v>
      </c>
      <c r="G2183" t="n">
        <v>0.4859122399144599</v>
      </c>
      <c r="H2183" t="n">
        <v>0.0240302794886432</v>
      </c>
      <c r="I2183" t="n">
        <v>0.0683105711669191</v>
      </c>
      <c r="J2183" t="n">
        <v>0.0024524283849693</v>
      </c>
      <c r="K2183" t="n">
        <v>0.8520975551794229</v>
      </c>
      <c r="L2183" t="b">
        <v>0</v>
      </c>
      <c r="M2183" t="b">
        <v>0</v>
      </c>
      <c r="N2183" t="inlineStr">
        <is>
          <t>alt</t>
        </is>
      </c>
      <c r="O2183" t="n">
        <v>-40</v>
      </c>
      <c r="P2183" t="n">
        <v>0.002975</v>
      </c>
      <c r="Q2183" t="n">
        <v>-25</v>
      </c>
      <c r="R2183" t="n">
        <v>0.02304</v>
      </c>
      <c r="S2183">
        <f>IMAGE("https://mitra.stanford.edu/kundaje/oak/projects/neuro-variants/variant_position/credible/roussos_2024/variant_figures/roussos_2024.childhood.Astrocyte/rs13431267_count_position.png",4,220,900)</f>
        <v/>
      </c>
      <c r="T2183">
        <f>IMAGE("https://mitra.stanford.edu/kundaje/oak/projects/neuro-variants/variant_position/credible/roussos_2024/variant_figures/roussos_2024.childhood.Astrocyte/rs13431267_profile_position.png",4,220,900)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-0.0653617766</v>
      </c>
      <c r="G2184" t="n">
        <v>0.1514285267396853</v>
      </c>
      <c r="H2184" t="n">
        <v>0.0142351550266165</v>
      </c>
      <c r="I2184" t="n">
        <v>0.3435697196849555</v>
      </c>
      <c r="J2184" t="n">
        <v>0.0989833070000686</v>
      </c>
      <c r="K2184" t="n">
        <v>0.329556485432935</v>
      </c>
      <c r="L2184" t="b">
        <v>0</v>
      </c>
      <c r="M2184" t="b">
        <v>0</v>
      </c>
      <c r="N2184" t="inlineStr">
        <is>
          <t>ref</t>
        </is>
      </c>
      <c r="O2184" t="n">
        <v>-55</v>
      </c>
      <c r="P2184" t="n">
        <v>0.007168</v>
      </c>
      <c r="Q2184" t="n">
        <v>90</v>
      </c>
      <c r="R2184" t="n">
        <v>0.1289</v>
      </c>
      <c r="S2184">
        <f>IMAGE("https://mitra.stanford.edu/kundaje/oak/projects/neuro-variants/variant_position/credible/roussos_2024/variant_figures/roussos_2024.childhood.Astrocyte/rs7604682_count_position.png",4,220,900)</f>
        <v/>
      </c>
      <c r="T2184">
        <f>IMAGE("https://mitra.stanford.edu/kundaje/oak/projects/neuro-variants/variant_position/credible/roussos_2024/variant_figures/roussos_2024.childhood.Astrocyte/rs7604682_profile_position.png",4,220,900)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0.096574566</v>
      </c>
      <c r="G2185" t="n">
        <v>0.0808967813498814</v>
      </c>
      <c r="H2185" t="n">
        <v>0.015332563425606</v>
      </c>
      <c r="I2185" t="n">
        <v>0.2837961631019264</v>
      </c>
      <c r="J2185" t="n">
        <v>0.163315854151878</v>
      </c>
      <c r="K2185" t="n">
        <v>0.2390220088219022</v>
      </c>
      <c r="L2185" t="b">
        <v>0</v>
      </c>
      <c r="M2185" t="b">
        <v>0</v>
      </c>
      <c r="N2185" t="inlineStr">
        <is>
          <t>alt</t>
        </is>
      </c>
      <c r="O2185" t="n">
        <v>100</v>
      </c>
      <c r="P2185" t="n">
        <v>0.01018</v>
      </c>
      <c r="Q2185" t="n">
        <v>-10</v>
      </c>
      <c r="R2185" t="n">
        <v>0.03662</v>
      </c>
      <c r="S2185">
        <f>IMAGE("https://mitra.stanford.edu/kundaje/oak/projects/neuro-variants/variant_position/credible/roussos_2024/variant_figures/roussos_2024.childhood.Astrocyte/rs7580750_count_position.png",4,220,900)</f>
        <v/>
      </c>
      <c r="T2185">
        <f>IMAGE("https://mitra.stanford.edu/kundaje/oak/projects/neuro-variants/variant_position/credible/roussos_2024/variant_figures/roussos_2024.childhood.Astrocyte/rs7580750_profile_position.png",4,220,900)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-0.002086461302</v>
      </c>
      <c r="G2186" t="n">
        <v>0.9384182715621492</v>
      </c>
      <c r="H2186" t="n">
        <v>0.0331105912159247</v>
      </c>
      <c r="I2186" t="n">
        <v>0.0206680989219387</v>
      </c>
      <c r="J2186" t="n">
        <v>0.0006854281636173</v>
      </c>
      <c r="K2186" t="n">
        <v>0.9257765639474984</v>
      </c>
      <c r="L2186" t="b">
        <v>0</v>
      </c>
      <c r="M2186" t="b">
        <v>0</v>
      </c>
      <c r="N2186" t="inlineStr">
        <is>
          <t>ref</t>
        </is>
      </c>
      <c r="O2186" t="n">
        <v>80</v>
      </c>
      <c r="P2186" t="n">
        <v>0.02899</v>
      </c>
      <c r="Q2186" t="n">
        <v>80</v>
      </c>
      <c r="R2186" t="n">
        <v>0.02771</v>
      </c>
      <c r="S2186">
        <f>IMAGE("https://mitra.stanford.edu/kundaje/oak/projects/neuro-variants/variant_position/credible/roussos_2024/variant_figures/roussos_2024.childhood.Astrocyte/rs6735946_count_position.png",4,220,900)</f>
        <v/>
      </c>
      <c r="T2186">
        <f>IMAGE("https://mitra.stanford.edu/kundaje/oak/projects/neuro-variants/variant_position/credible/roussos_2024/variant_figures/roussos_2024.childhood.Astrocyte/rs6735946_profile_position.png",4,220,900)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-0.009203474600000001</v>
      </c>
      <c r="G2187" t="n">
        <v>0.5675930332409445</v>
      </c>
      <c r="H2187" t="n">
        <v>0.009466326756857499</v>
      </c>
      <c r="I2187" t="n">
        <v>0.7412657432248383</v>
      </c>
      <c r="J2187" t="n">
        <v>0.0007701525802782</v>
      </c>
      <c r="K2187" t="n">
        <v>0.9193669003018192</v>
      </c>
      <c r="L2187" t="b">
        <v>0</v>
      </c>
      <c r="M2187" t="b">
        <v>0</v>
      </c>
      <c r="N2187" t="inlineStr">
        <is>
          <t>ref</t>
        </is>
      </c>
      <c r="O2187" t="n">
        <v>-90</v>
      </c>
      <c r="P2187" t="n">
        <v>0.02197</v>
      </c>
      <c r="Q2187" t="n">
        <v>-85</v>
      </c>
      <c r="R2187" t="n">
        <v>0.0646</v>
      </c>
      <c r="S2187">
        <f>IMAGE("https://mitra.stanford.edu/kundaje/oak/projects/neuro-variants/variant_position/credible/roussos_2024/variant_figures/roussos_2024.childhood.Astrocyte/rs10197755_count_position.png",4,220,900)</f>
        <v/>
      </c>
      <c r="T2187">
        <f>IMAGE("https://mitra.stanford.edu/kundaje/oak/projects/neuro-variants/variant_position/credible/roussos_2024/variant_figures/roussos_2024.childhood.Astrocyte/rs10197755_profile_position.png",4,220,900)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0.0141909646</v>
      </c>
      <c r="G2188" t="n">
        <v>0.5005103298958142</v>
      </c>
      <c r="H2188" t="n">
        <v>0.0104122664219325</v>
      </c>
      <c r="I2188" t="n">
        <v>0.6768962445212938</v>
      </c>
      <c r="J2188" t="n">
        <v>0.0007861815239708</v>
      </c>
      <c r="K2188" t="n">
        <v>0.9187418250878836</v>
      </c>
      <c r="L2188" t="b">
        <v>0</v>
      </c>
      <c r="M2188" t="b">
        <v>0</v>
      </c>
      <c r="N2188" t="inlineStr">
        <is>
          <t>alt</t>
        </is>
      </c>
      <c r="O2188" t="n">
        <v>100</v>
      </c>
      <c r="P2188" t="n">
        <v>0.01231</v>
      </c>
      <c r="Q2188" t="n">
        <v>100</v>
      </c>
      <c r="R2188" t="n">
        <v>0.0677</v>
      </c>
      <c r="S2188">
        <f>IMAGE("https://mitra.stanford.edu/kundaje/oak/projects/neuro-variants/variant_position/credible/roussos_2024/variant_figures/roussos_2024.childhood.Astrocyte/rs7583255_count_position.png",4,220,900)</f>
        <v/>
      </c>
      <c r="T2188">
        <f>IMAGE("https://mitra.stanford.edu/kundaje/oak/projects/neuro-variants/variant_position/credible/roussos_2024/variant_figures/roussos_2024.childhood.Astrocyte/rs7583255_profile_position.png",4,220,900)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-0.0273884572</v>
      </c>
      <c r="G2189" t="n">
        <v>0.4105943346526059</v>
      </c>
      <c r="H2189" t="n">
        <v>0.0226242073561752</v>
      </c>
      <c r="I2189" t="n">
        <v>0.082567241405375</v>
      </c>
      <c r="J2189" t="n">
        <v>0.0003770618182927</v>
      </c>
      <c r="K2189" t="n">
        <v>0.9585645592997902</v>
      </c>
      <c r="L2189" t="b">
        <v>0</v>
      </c>
      <c r="M2189" t="b">
        <v>0</v>
      </c>
      <c r="N2189" t="inlineStr">
        <is>
          <t>ref</t>
        </is>
      </c>
      <c r="O2189" t="n">
        <v>-100</v>
      </c>
      <c r="P2189" t="n">
        <v>0.01139</v>
      </c>
      <c r="Q2189" t="n">
        <v>80</v>
      </c>
      <c r="R2189" t="n">
        <v>0.04993</v>
      </c>
      <c r="S2189">
        <f>IMAGE("https://mitra.stanford.edu/kundaje/oak/projects/neuro-variants/variant_position/credible/roussos_2024/variant_figures/roussos_2024.childhood.Astrocyte/rs7558944_count_position.png",4,220,900)</f>
        <v/>
      </c>
      <c r="T2189">
        <f>IMAGE("https://mitra.stanford.edu/kundaje/oak/projects/neuro-variants/variant_position/credible/roussos_2024/variant_figures/roussos_2024.childhood.Astrocyte/rs7558944_profile_position.png",4,220,900)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-0.00081235876</v>
      </c>
      <c r="G2190" t="n">
        <v>0.6625650810954016</v>
      </c>
      <c r="H2190" t="n">
        <v>0.0089979487181294</v>
      </c>
      <c r="I2190" t="n">
        <v>0.8151795569309784</v>
      </c>
      <c r="J2190" t="n">
        <v>0.0073153045880942</v>
      </c>
      <c r="K2190" t="n">
        <v>0.7326109153833323</v>
      </c>
      <c r="L2190" t="b">
        <v>0</v>
      </c>
      <c r="M2190" t="b">
        <v>0</v>
      </c>
      <c r="N2190" t="inlineStr">
        <is>
          <t>ref</t>
        </is>
      </c>
      <c r="O2190" t="n">
        <v>-55</v>
      </c>
      <c r="P2190" t="n">
        <v>0.01726</v>
      </c>
      <c r="Q2190" t="n">
        <v>-50</v>
      </c>
      <c r="R2190" t="n">
        <v>0.0216</v>
      </c>
      <c r="S2190">
        <f>IMAGE("https://mitra.stanford.edu/kundaje/oak/projects/neuro-variants/variant_position/credible/roussos_2024/variant_figures/roussos_2024.childhood.Astrocyte/rs11903916_count_position.png",4,220,900)</f>
        <v/>
      </c>
      <c r="T2190">
        <f>IMAGE("https://mitra.stanford.edu/kundaje/oak/projects/neuro-variants/variant_position/credible/roussos_2024/variant_figures/roussos_2024.childhood.Astrocyte/rs11903916_profile_position.png",4,220,900)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-0.0606423308</v>
      </c>
      <c r="G2191" t="n">
        <v>0.1673247708994445</v>
      </c>
      <c r="H2191" t="n">
        <v>0.0149319357348931</v>
      </c>
      <c r="I2191" t="n">
        <v>0.3006164755396963</v>
      </c>
      <c r="J2191" t="n">
        <v>0.0020051445276422</v>
      </c>
      <c r="K2191" t="n">
        <v>0.85729828740299</v>
      </c>
      <c r="L2191" t="b">
        <v>0</v>
      </c>
      <c r="M2191" t="b">
        <v>0</v>
      </c>
      <c r="N2191" t="inlineStr">
        <is>
          <t>ref</t>
        </is>
      </c>
      <c r="O2191" t="n">
        <v>60</v>
      </c>
      <c r="P2191" t="n">
        <v>0.007866</v>
      </c>
      <c r="Q2191" t="n">
        <v>-100</v>
      </c>
      <c r="R2191" t="n">
        <v>0.02368</v>
      </c>
      <c r="S2191">
        <f>IMAGE("https://mitra.stanford.edu/kundaje/oak/projects/neuro-variants/variant_position/credible/roussos_2024/variant_figures/roussos_2024.childhood.Astrocyte/rs7603647_count_position.png",4,220,900)</f>
        <v/>
      </c>
      <c r="T2191">
        <f>IMAGE("https://mitra.stanford.edu/kundaje/oak/projects/neuro-variants/variant_position/credible/roussos_2024/variant_figures/roussos_2024.childhood.Astrocyte/rs7603647_profile_position.png",4,220,900)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0.0922961445</v>
      </c>
      <c r="G2192" t="n">
        <v>0.07278655459624821</v>
      </c>
      <c r="H2192" t="n">
        <v>0.0175086688075321</v>
      </c>
      <c r="I2192" t="n">
        <v>0.1898161062126916</v>
      </c>
      <c r="J2192" t="n">
        <v>0.3979246334333234</v>
      </c>
      <c r="K2192" t="n">
        <v>0.08768695620587021</v>
      </c>
      <c r="L2192" t="b">
        <v>0</v>
      </c>
      <c r="M2192" t="b">
        <v>0</v>
      </c>
      <c r="N2192" t="inlineStr">
        <is>
          <t>alt</t>
        </is>
      </c>
      <c r="O2192" t="n">
        <v>-100</v>
      </c>
      <c r="P2192" t="n">
        <v>0.05643</v>
      </c>
      <c r="Q2192" t="n">
        <v>-100</v>
      </c>
      <c r="R2192" t="n">
        <v>0.2197</v>
      </c>
      <c r="S2192">
        <f>IMAGE("https://mitra.stanford.edu/kundaje/oak/projects/neuro-variants/variant_position/credible/roussos_2024/variant_figures/roussos_2024.childhood.Astrocyte/rs6546856_count_position.png",4,220,900)</f>
        <v/>
      </c>
      <c r="T2192">
        <f>IMAGE("https://mitra.stanford.edu/kundaje/oak/projects/neuro-variants/variant_position/credible/roussos_2024/variant_figures/roussos_2024.childhood.Astrocyte/rs6546856_profile_position.png",4,220,900)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-0.1037122076</v>
      </c>
      <c r="G2193" t="n">
        <v>0.0791878980644941</v>
      </c>
      <c r="H2193" t="n">
        <v>0.023083721372707</v>
      </c>
      <c r="I2193" t="n">
        <v>0.08296269194930619</v>
      </c>
      <c r="J2193" t="n">
        <v>0.0239014448947814</v>
      </c>
      <c r="K2193" t="n">
        <v>0.5733792253716302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0.08840000000000001</v>
      </c>
      <c r="Q2193" t="n">
        <v>-90</v>
      </c>
      <c r="R2193" t="n">
        <v>0.1719</v>
      </c>
      <c r="S2193">
        <f>IMAGE("https://mitra.stanford.edu/kundaje/oak/projects/neuro-variants/variant_position/credible/roussos_2024/variant_figures/roussos_2024.childhood.Astrocyte/rs13407231_count_position.png",4,220,900)</f>
        <v/>
      </c>
      <c r="T2193">
        <f>IMAGE("https://mitra.stanford.edu/kundaje/oak/projects/neuro-variants/variant_position/credible/roussos_2024/variant_figures/roussos_2024.childhood.Astrocyte/rs13407231_profile_position.png",4,220,900)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0.0401098909999999</v>
      </c>
      <c r="G2194" t="n">
        <v>0.2812002441750944</v>
      </c>
      <c r="H2194" t="n">
        <v>0.0100237729149726</v>
      </c>
      <c r="I2194" t="n">
        <v>0.7116618778910834</v>
      </c>
      <c r="J2194" t="n">
        <v>0.0232373886560875</v>
      </c>
      <c r="K2194" t="n">
        <v>0.5786892835838925</v>
      </c>
      <c r="L2194" t="b">
        <v>0</v>
      </c>
      <c r="M2194" t="b">
        <v>0</v>
      </c>
      <c r="N2194" t="inlineStr">
        <is>
          <t>alt</t>
        </is>
      </c>
      <c r="O2194" t="n">
        <v>10</v>
      </c>
      <c r="P2194" t="n">
        <v>0.007763</v>
      </c>
      <c r="Q2194" t="n">
        <v>-70</v>
      </c>
      <c r="R2194" t="n">
        <v>0.0709</v>
      </c>
      <c r="S2194">
        <f>IMAGE("https://mitra.stanford.edu/kundaje/oak/projects/neuro-variants/variant_position/credible/roussos_2024/variant_figures/roussos_2024.childhood.Astrocyte/rs17016552_count_position.png",4,220,900)</f>
        <v/>
      </c>
      <c r="T2194">
        <f>IMAGE("https://mitra.stanford.edu/kundaje/oak/projects/neuro-variants/variant_position/credible/roussos_2024/variant_figures/roussos_2024.childhood.Astrocyte/rs17016552_profile_position.png",4,220,900)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0.0215482113</v>
      </c>
      <c r="G2195" t="n">
        <v>0.4798469907988016</v>
      </c>
      <c r="H2195" t="n">
        <v>0.0102800017686288</v>
      </c>
      <c r="I2195" t="n">
        <v>0.6663156722934149</v>
      </c>
      <c r="J2195" t="n">
        <v>0.0559478830345079</v>
      </c>
      <c r="K2195" t="n">
        <v>0.4329543932525265</v>
      </c>
      <c r="L2195" t="b">
        <v>0</v>
      </c>
      <c r="M2195" t="b">
        <v>0</v>
      </c>
      <c r="N2195" t="inlineStr">
        <is>
          <t>alt</t>
        </is>
      </c>
      <c r="O2195" t="n">
        <v>45</v>
      </c>
      <c r="P2195" t="n">
        <v>0.001652</v>
      </c>
      <c r="Q2195" t="n">
        <v>-100</v>
      </c>
      <c r="R2195" t="n">
        <v>0.2167</v>
      </c>
      <c r="S2195">
        <f>IMAGE("https://mitra.stanford.edu/kundaje/oak/projects/neuro-variants/variant_position/credible/roussos_2024/variant_figures/roussos_2024.childhood.Astrocyte/rs13406464_count_position.png",4,220,900)</f>
        <v/>
      </c>
      <c r="T2195">
        <f>IMAGE("https://mitra.stanford.edu/kundaje/oak/projects/neuro-variants/variant_position/credible/roussos_2024/variant_figures/roussos_2024.childhood.Astrocyte/rs13406464_profile_position.png",4,220,900)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-0.036349757</v>
      </c>
      <c r="G2196" t="n">
        <v>0.3273893825536237</v>
      </c>
      <c r="H2196" t="n">
        <v>0.022862070605758</v>
      </c>
      <c r="I2196" t="n">
        <v>0.08019006515796789</v>
      </c>
      <c r="J2196" t="n">
        <v>0.012142306488669</v>
      </c>
      <c r="K2196" t="n">
        <v>0.6681215185880744</v>
      </c>
      <c r="L2196" t="b">
        <v>0</v>
      </c>
      <c r="M2196" t="b">
        <v>0</v>
      </c>
      <c r="N2196" t="inlineStr">
        <is>
          <t>ref</t>
        </is>
      </c>
      <c r="O2196" t="n">
        <v>85</v>
      </c>
      <c r="P2196" t="n">
        <v>0.013794</v>
      </c>
      <c r="Q2196" t="n">
        <v>100</v>
      </c>
      <c r="R2196" t="n">
        <v>0.169</v>
      </c>
      <c r="S2196">
        <f>IMAGE("https://mitra.stanford.edu/kundaje/oak/projects/neuro-variants/variant_position/credible/roussos_2024/variant_figures/roussos_2024.childhood.Astrocyte/rs4535062_count_position.png",4,220,900)</f>
        <v/>
      </c>
      <c r="T2196">
        <f>IMAGE("https://mitra.stanford.edu/kundaje/oak/projects/neuro-variants/variant_position/credible/roussos_2024/variant_figures/roussos_2024.childhood.Astrocyte/rs4535062_profile_position.png",4,220,900)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0.0453712251599999</v>
      </c>
      <c r="G2197" t="n">
        <v>0.2465085243007377</v>
      </c>
      <c r="H2197" t="n">
        <v>0.0187881820379076</v>
      </c>
      <c r="I2197" t="n">
        <v>0.1588475228128668</v>
      </c>
      <c r="J2197" t="n">
        <v>0.0128865074458259</v>
      </c>
      <c r="K2197" t="n">
        <v>0.6606750875027511</v>
      </c>
      <c r="L2197" t="b">
        <v>0</v>
      </c>
      <c r="M2197" t="b">
        <v>0</v>
      </c>
      <c r="N2197" t="inlineStr">
        <is>
          <t>alt</t>
        </is>
      </c>
      <c r="O2197" t="n">
        <v>-90</v>
      </c>
      <c r="P2197" t="n">
        <v>0.0774</v>
      </c>
      <c r="Q2197" t="n">
        <v>-95</v>
      </c>
      <c r="R2197" t="n">
        <v>0.04163</v>
      </c>
      <c r="S2197">
        <f>IMAGE("https://mitra.stanford.edu/kundaje/oak/projects/neuro-variants/variant_position/credible/roussos_2024/variant_figures/roussos_2024.childhood.Astrocyte/rs17029753_count_position.png",4,220,900)</f>
        <v/>
      </c>
      <c r="T2197">
        <f>IMAGE("https://mitra.stanford.edu/kundaje/oak/projects/neuro-variants/variant_position/credible/roussos_2024/variant_figures/roussos_2024.childhood.Astrocyte/rs17029753_profile_position.png",4,220,900)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0.0502700504</v>
      </c>
      <c r="G2198" t="n">
        <v>0.2385845881328927</v>
      </c>
      <c r="H2198" t="n">
        <v>0.0126179114274473</v>
      </c>
      <c r="I2198" t="n">
        <v>0.4585006824113942</v>
      </c>
      <c r="J2198" t="n">
        <v>0.0069443490340652</v>
      </c>
      <c r="K2198" t="n">
        <v>0.7495920315616706</v>
      </c>
      <c r="L2198" t="b">
        <v>0</v>
      </c>
      <c r="M2198" t="b">
        <v>0</v>
      </c>
      <c r="N2198" t="inlineStr">
        <is>
          <t>alt</t>
        </is>
      </c>
      <c r="O2198" t="n">
        <v>-75</v>
      </c>
      <c r="P2198" t="n">
        <v>0.006554</v>
      </c>
      <c r="Q2198" t="n">
        <v>55</v>
      </c>
      <c r="R2198" t="n">
        <v>0.1705</v>
      </c>
      <c r="S2198">
        <f>IMAGE("https://mitra.stanford.edu/kundaje/oak/projects/neuro-variants/variant_position/credible/roussos_2024/variant_figures/roussos_2024.childhood.Astrocyte/rs60641243_count_position.png",4,220,900)</f>
        <v/>
      </c>
      <c r="T2198">
        <f>IMAGE("https://mitra.stanford.edu/kundaje/oak/projects/neuro-variants/variant_position/credible/roussos_2024/variant_figures/roussos_2024.childhood.Astrocyte/rs60641243_profile_position.png",4,220,900)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0.124005424</v>
      </c>
      <c r="G2199" t="n">
        <v>0.0547822989122234</v>
      </c>
      <c r="H2199" t="n">
        <v>0.0231665212806444</v>
      </c>
      <c r="I2199" t="n">
        <v>0.0791809270596134</v>
      </c>
      <c r="J2199" t="n">
        <v>0.09344187218062321</v>
      </c>
      <c r="K2199" t="n">
        <v>0.3350148484284664</v>
      </c>
      <c r="L2199" t="b">
        <v>0</v>
      </c>
      <c r="M2199" t="b">
        <v>0</v>
      </c>
      <c r="N2199" t="inlineStr">
        <is>
          <t>alt</t>
        </is>
      </c>
      <c r="O2199" t="n">
        <v>-5</v>
      </c>
      <c r="P2199" t="n">
        <v>0.0004272</v>
      </c>
      <c r="Q2199" t="n">
        <v>-45</v>
      </c>
      <c r="R2199" t="n">
        <v>0.1396</v>
      </c>
      <c r="S2199">
        <f>IMAGE("https://mitra.stanford.edu/kundaje/oak/projects/neuro-variants/variant_position/credible/roussos_2024/variant_figures/roussos_2024.childhood.Astrocyte/rs7598321_count_position.png",4,220,900)</f>
        <v/>
      </c>
      <c r="T2199">
        <f>IMAGE("https://mitra.stanford.edu/kundaje/oak/projects/neuro-variants/variant_position/credible/roussos_2024/variant_figures/roussos_2024.childhood.Astrocyte/rs7598321_profile_position.png",4,220,900)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0.0048373002599999</v>
      </c>
      <c r="G2200" t="n">
        <v>0.8064923384780774</v>
      </c>
      <c r="H2200" t="n">
        <v>0.0263523573419874</v>
      </c>
      <c r="I2200" t="n">
        <v>0.0481495016346387</v>
      </c>
      <c r="J2200" t="n">
        <v>0.3215192385488462</v>
      </c>
      <c r="K2200" t="n">
        <v>0.1224537438221347</v>
      </c>
      <c r="L2200" t="b">
        <v>0</v>
      </c>
      <c r="M2200" t="b">
        <v>0</v>
      </c>
      <c r="N2200" t="inlineStr">
        <is>
          <t>alt</t>
        </is>
      </c>
      <c r="O2200" t="n">
        <v>35</v>
      </c>
      <c r="P2200" t="n">
        <v>0.006516</v>
      </c>
      <c r="Q2200" t="n">
        <v>85</v>
      </c>
      <c r="R2200" t="n">
        <v>0.1495</v>
      </c>
      <c r="S2200">
        <f>IMAGE("https://mitra.stanford.edu/kundaje/oak/projects/neuro-variants/variant_position/credible/roussos_2024/variant_figures/roussos_2024.childhood.Astrocyte/rs62152284_count_position.png",4,220,900)</f>
        <v/>
      </c>
      <c r="T2200">
        <f>IMAGE("https://mitra.stanford.edu/kundaje/oak/projects/neuro-variants/variant_position/credible/roussos_2024/variant_figures/roussos_2024.childhood.Astrocyte/rs62152284_profile_position.png",4,220,900)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-0.009371955236</v>
      </c>
      <c r="G2201" t="n">
        <v>0.7538812426651478</v>
      </c>
      <c r="H2201" t="n">
        <v>0.0077405581811444</v>
      </c>
      <c r="I2201" t="n">
        <v>0.9067442981572472</v>
      </c>
      <c r="J2201" t="n">
        <v>0.0016708265591963</v>
      </c>
      <c r="K2201" t="n">
        <v>0.8692166715326863</v>
      </c>
      <c r="L2201" t="b">
        <v>0</v>
      </c>
      <c r="M2201" t="b">
        <v>0</v>
      </c>
      <c r="N2201" t="inlineStr">
        <is>
          <t>ref</t>
        </is>
      </c>
      <c r="O2201" t="n">
        <v>-100</v>
      </c>
      <c r="P2201" t="n">
        <v>0.006165</v>
      </c>
      <c r="Q2201" t="n">
        <v>-100</v>
      </c>
      <c r="R2201" t="n">
        <v>0.02979</v>
      </c>
      <c r="S2201">
        <f>IMAGE("https://mitra.stanford.edu/kundaje/oak/projects/neuro-variants/variant_position/credible/roussos_2024/variant_figures/roussos_2024.childhood.Astrocyte/rs112338729_count_position.png",4,220,900)</f>
        <v/>
      </c>
      <c r="T2201">
        <f>IMAGE("https://mitra.stanford.edu/kundaje/oak/projects/neuro-variants/variant_position/credible/roussos_2024/variant_figures/roussos_2024.childhood.Astrocyte/rs112338729_profile_position.png",4,220,900)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0.093830707</v>
      </c>
      <c r="G2202" t="n">
        <v>0.07717355206612581</v>
      </c>
      <c r="H2202" t="n">
        <v>0.0174346520131174</v>
      </c>
      <c r="I2202" t="n">
        <v>0.1916401896068121</v>
      </c>
      <c r="J2202" t="n">
        <v>0.0435468235976582</v>
      </c>
      <c r="K2202" t="n">
        <v>0.4786142837816968</v>
      </c>
      <c r="L2202" t="b">
        <v>0</v>
      </c>
      <c r="M2202" t="b">
        <v>0</v>
      </c>
      <c r="N2202" t="inlineStr">
        <is>
          <t>alt</t>
        </is>
      </c>
      <c r="O2202" t="n">
        <v>-100</v>
      </c>
      <c r="P2202" t="n">
        <v>0.00569</v>
      </c>
      <c r="Q2202" t="n">
        <v>-100</v>
      </c>
      <c r="R2202" t="n">
        <v>0.1023</v>
      </c>
      <c r="S2202">
        <f>IMAGE("https://mitra.stanford.edu/kundaje/oak/projects/neuro-variants/variant_position/credible/roussos_2024/variant_figures/roussos_2024.childhood.Astrocyte/rs6729836_count_position.png",4,220,900)</f>
        <v/>
      </c>
      <c r="T2202">
        <f>IMAGE("https://mitra.stanford.edu/kundaje/oak/projects/neuro-variants/variant_position/credible/roussos_2024/variant_figures/roussos_2024.childhood.Astrocyte/rs6729836_profile_position.png",4,220,900)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0.07317314599999999</v>
      </c>
      <c r="G2203" t="n">
        <v>0.1178276059125939</v>
      </c>
      <c r="H2203" t="n">
        <v>0.0115615085479154</v>
      </c>
      <c r="I2203" t="n">
        <v>0.5622979815829565</v>
      </c>
      <c r="J2203" t="n">
        <v>0.005803240899758</v>
      </c>
      <c r="K2203" t="n">
        <v>0.7548269602962</v>
      </c>
      <c r="L2203" t="b">
        <v>0</v>
      </c>
      <c r="M2203" t="b">
        <v>0</v>
      </c>
      <c r="N2203" t="inlineStr">
        <is>
          <t>alt</t>
        </is>
      </c>
      <c r="O2203" t="n">
        <v>-40</v>
      </c>
      <c r="P2203" t="n">
        <v>0.00186</v>
      </c>
      <c r="Q2203" t="n">
        <v>-60</v>
      </c>
      <c r="R2203" t="n">
        <v>0.1142</v>
      </c>
      <c r="S2203">
        <f>IMAGE("https://mitra.stanford.edu/kundaje/oak/projects/neuro-variants/variant_position/credible/roussos_2024/variant_figures/roussos_2024.childhood.Astrocyte/rs10203500_count_position.png",4,220,900)</f>
        <v/>
      </c>
      <c r="T2203">
        <f>IMAGE("https://mitra.stanford.edu/kundaje/oak/projects/neuro-variants/variant_position/credible/roussos_2024/variant_figures/roussos_2024.childhood.Astrocyte/rs10203500_profile_position.png",4,220,900)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0.0254093712</v>
      </c>
      <c r="G2204" t="n">
        <v>0.1802581429238176</v>
      </c>
      <c r="H2204" t="n">
        <v>0.0113671713954814</v>
      </c>
      <c r="I2204" t="n">
        <v>0.5588099468297719</v>
      </c>
      <c r="J2204" t="n">
        <v>0.0061925152465785</v>
      </c>
      <c r="K2204" t="n">
        <v>0.768499817576886</v>
      </c>
      <c r="L2204" t="b">
        <v>0</v>
      </c>
      <c r="M2204" t="b">
        <v>0</v>
      </c>
      <c r="N2204" t="inlineStr">
        <is>
          <t>alt</t>
        </is>
      </c>
      <c r="O2204" t="n">
        <v>15</v>
      </c>
      <c r="P2204" t="n">
        <v>0.001343</v>
      </c>
      <c r="Q2204" t="n">
        <v>0</v>
      </c>
      <c r="R2204" t="n">
        <v>0</v>
      </c>
      <c r="S2204">
        <f>IMAGE("https://mitra.stanford.edu/kundaje/oak/projects/neuro-variants/variant_position/credible/roussos_2024/variant_figures/roussos_2024.childhood.Astrocyte/rs12692042_count_position.png",4,220,900)</f>
        <v/>
      </c>
      <c r="T2204">
        <f>IMAGE("https://mitra.stanford.edu/kundaje/oak/projects/neuro-variants/variant_position/credible/roussos_2024/variant_figures/roussos_2024.childhood.Astrocyte/rs12692042_profile_position.png",4,220,900)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0.0167734357999999</v>
      </c>
      <c r="G2205" t="n">
        <v>0.5736002937130491</v>
      </c>
      <c r="H2205" t="n">
        <v>0.0267144370459376</v>
      </c>
      <c r="I2205" t="n">
        <v>0.0458924700290523</v>
      </c>
      <c r="J2205" t="n">
        <v>0.0033355468541289</v>
      </c>
      <c r="K2205" t="n">
        <v>0.8213605892349602</v>
      </c>
      <c r="L2205" t="b">
        <v>0</v>
      </c>
      <c r="M2205" t="b">
        <v>0</v>
      </c>
      <c r="N2205" t="inlineStr">
        <is>
          <t>alt</t>
        </is>
      </c>
      <c r="O2205" t="n">
        <v>5</v>
      </c>
      <c r="P2205" t="n">
        <v>0.001526</v>
      </c>
      <c r="Q2205" t="n">
        <v>-10</v>
      </c>
      <c r="R2205" t="n">
        <v>0.0116</v>
      </c>
      <c r="S2205">
        <f>IMAGE("https://mitra.stanford.edu/kundaje/oak/projects/neuro-variants/variant_position/credible/roussos_2024/variant_figures/roussos_2024.childhood.Astrocyte/rs17477145_count_position.png",4,220,900)</f>
        <v/>
      </c>
      <c r="T2205">
        <f>IMAGE("https://mitra.stanford.edu/kundaje/oak/projects/neuro-variants/variant_position/credible/roussos_2024/variant_figures/roussos_2024.childhood.Astrocyte/rs17477145_profile_position.png",4,220,900)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-0.0334064586</v>
      </c>
      <c r="G2206" t="n">
        <v>0.3486122281509486</v>
      </c>
      <c r="H2206" t="n">
        <v>0.0306195674808257</v>
      </c>
      <c r="I2206" t="n">
        <v>0.0281389261762469</v>
      </c>
      <c r="J2206" t="n">
        <v>0.0034072954592291</v>
      </c>
      <c r="K2206" t="n">
        <v>0.8188969349420133</v>
      </c>
      <c r="L2206" t="b">
        <v>0</v>
      </c>
      <c r="M2206" t="b">
        <v>0</v>
      </c>
      <c r="N2206" t="inlineStr">
        <is>
          <t>ref</t>
        </is>
      </c>
      <c r="O2206" t="n">
        <v>-30</v>
      </c>
      <c r="P2206" t="n">
        <v>0.002167</v>
      </c>
      <c r="Q2206" t="n">
        <v>-50</v>
      </c>
      <c r="R2206" t="n">
        <v>0.01636</v>
      </c>
      <c r="S2206">
        <f>IMAGE("https://mitra.stanford.edu/kundaje/oak/projects/neuro-variants/variant_position/credible/roussos_2024/variant_figures/roussos_2024.childhood.Astrocyte/rs13386580_count_position.png",4,220,900)</f>
        <v/>
      </c>
      <c r="T2206">
        <f>IMAGE("https://mitra.stanford.edu/kundaje/oak/projects/neuro-variants/variant_position/credible/roussos_2024/variant_figures/roussos_2024.childhood.Astrocyte/rs13386580_profile_position.png",4,220,900)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0.0201152531</v>
      </c>
      <c r="G2207" t="n">
        <v>0.5180600440891933</v>
      </c>
      <c r="H2207" t="n">
        <v>0.0155490032016328</v>
      </c>
      <c r="I2207" t="n">
        <v>0.2671770041867486</v>
      </c>
      <c r="J2207" t="n">
        <v>0.030254249578286</v>
      </c>
      <c r="K2207" t="n">
        <v>0.5411597403815385</v>
      </c>
      <c r="L2207" t="b">
        <v>0</v>
      </c>
      <c r="M2207" t="b">
        <v>0</v>
      </c>
      <c r="N2207" t="inlineStr">
        <is>
          <t>alt</t>
        </is>
      </c>
      <c r="O2207" t="n">
        <v>-95</v>
      </c>
      <c r="P2207" t="n">
        <v>0.03745</v>
      </c>
      <c r="Q2207" t="n">
        <v>-100</v>
      </c>
      <c r="R2207" t="n">
        <v>0.3838</v>
      </c>
      <c r="S2207">
        <f>IMAGE("https://mitra.stanford.edu/kundaje/oak/projects/neuro-variants/variant_position/credible/roussos_2024/variant_figures/roussos_2024.childhood.Astrocyte/rs10208226_count_position.png",4,220,900)</f>
        <v/>
      </c>
      <c r="T2207">
        <f>IMAGE("https://mitra.stanford.edu/kundaje/oak/projects/neuro-variants/variant_position/credible/roussos_2024/variant_figures/roussos_2024.childhood.Astrocyte/rs10208226_profile_position.png",4,220,900)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0.0242164193</v>
      </c>
      <c r="G2208" t="n">
        <v>0.4480740767876218</v>
      </c>
      <c r="H2208" t="n">
        <v>0.0134545856713994</v>
      </c>
      <c r="I2208" t="n">
        <v>0.3958668330916841</v>
      </c>
      <c r="J2208" t="n">
        <v>0.0050582766595681</v>
      </c>
      <c r="K2208" t="n">
        <v>0.805619876962851</v>
      </c>
      <c r="L2208" t="b">
        <v>0</v>
      </c>
      <c r="M2208" t="b">
        <v>0</v>
      </c>
      <c r="N2208" t="inlineStr">
        <is>
          <t>alt</t>
        </is>
      </c>
      <c r="O2208" t="n">
        <v>35</v>
      </c>
      <c r="P2208" t="n">
        <v>0.00575</v>
      </c>
      <c r="Q2208" t="n">
        <v>0</v>
      </c>
      <c r="R2208" t="n">
        <v>0</v>
      </c>
      <c r="S2208">
        <f>IMAGE("https://mitra.stanford.edu/kundaje/oak/projects/neuro-variants/variant_position/credible/roussos_2024/variant_figures/roussos_2024.childhood.Astrocyte/rs1401123_count_position.png",4,220,900)</f>
        <v/>
      </c>
      <c r="T2208">
        <f>IMAGE("https://mitra.stanford.edu/kundaje/oak/projects/neuro-variants/variant_position/credible/roussos_2024/variant_figures/roussos_2024.childhood.Astrocyte/rs1401123_profile_position.png",4,220,900)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-0.009617881579999999</v>
      </c>
      <c r="G2209" t="n">
        <v>0.7393278051653241</v>
      </c>
      <c r="H2209" t="n">
        <v>0.0186507254572138</v>
      </c>
      <c r="I2209" t="n">
        <v>0.1580885601606529</v>
      </c>
      <c r="J2209" t="n">
        <v>0.0337768007754955</v>
      </c>
      <c r="K2209" t="n">
        <v>0.5168818882767056</v>
      </c>
      <c r="L2209" t="b">
        <v>0</v>
      </c>
      <c r="M2209" t="b">
        <v>0</v>
      </c>
      <c r="N2209" t="inlineStr">
        <is>
          <t>ref</t>
        </is>
      </c>
      <c r="O2209" t="n">
        <v>95</v>
      </c>
      <c r="P2209" t="n">
        <v>0.001934</v>
      </c>
      <c r="Q2209" t="n">
        <v>-70</v>
      </c>
      <c r="R2209" t="n">
        <v>0.0506</v>
      </c>
      <c r="S2209">
        <f>IMAGE("https://mitra.stanford.edu/kundaje/oak/projects/neuro-variants/variant_position/credible/roussos_2024/variant_figures/roussos_2024.childhood.Astrocyte/rs10202846_count_position.png",4,220,900)</f>
        <v/>
      </c>
      <c r="T2209">
        <f>IMAGE("https://mitra.stanford.edu/kundaje/oak/projects/neuro-variants/variant_position/credible/roussos_2024/variant_figures/roussos_2024.childhood.Astrocyte/rs10202846_profile_position.png",4,220,900)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-0.0651934324</v>
      </c>
      <c r="G2210" t="n">
        <v>0.1594734672433563</v>
      </c>
      <c r="H2210" t="n">
        <v>0.0115708184331837</v>
      </c>
      <c r="I2210" t="n">
        <v>0.5580950483520501</v>
      </c>
      <c r="J2210" t="n">
        <v>0.08533733293642611</v>
      </c>
      <c r="K2210" t="n">
        <v>0.3584481174815115</v>
      </c>
      <c r="L2210" t="b">
        <v>0</v>
      </c>
      <c r="M2210" t="b">
        <v>0</v>
      </c>
      <c r="N2210" t="inlineStr">
        <is>
          <t>ref</t>
        </is>
      </c>
      <c r="O2210" t="n">
        <v>-95</v>
      </c>
      <c r="P2210" t="n">
        <v>0.010376</v>
      </c>
      <c r="Q2210" t="n">
        <v>70</v>
      </c>
      <c r="R2210" t="n">
        <v>0.0958</v>
      </c>
      <c r="S2210">
        <f>IMAGE("https://mitra.stanford.edu/kundaje/oak/projects/neuro-variants/variant_position/credible/roussos_2024/variant_figures/roussos_2024.childhood.Astrocyte/rs9287360_count_position.png",4,220,900)</f>
        <v/>
      </c>
      <c r="T2210">
        <f>IMAGE("https://mitra.stanford.edu/kundaje/oak/projects/neuro-variants/variant_position/credible/roussos_2024/variant_figures/roussos_2024.childhood.Astrocyte/rs9287360_profile_position.png",4,220,900)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-0.0075289166</v>
      </c>
      <c r="G2211" t="n">
        <v>0.6486402619685134</v>
      </c>
      <c r="H2211" t="n">
        <v>0.0326720639835391</v>
      </c>
      <c r="I2211" t="n">
        <v>0.021165009645254</v>
      </c>
      <c r="J2211" t="n">
        <v>0.0226122598520757</v>
      </c>
      <c r="K2211" t="n">
        <v>0.575009150899683</v>
      </c>
      <c r="L2211" t="b">
        <v>0</v>
      </c>
      <c r="M2211" t="b">
        <v>0</v>
      </c>
      <c r="N2211" t="inlineStr">
        <is>
          <t>ref</t>
        </is>
      </c>
      <c r="O2211" t="n">
        <v>85</v>
      </c>
      <c r="P2211" t="n">
        <v>0.009339999999999999</v>
      </c>
      <c r="Q2211" t="n">
        <v>20</v>
      </c>
      <c r="R2211" t="n">
        <v>0.1256</v>
      </c>
      <c r="S2211">
        <f>IMAGE("https://mitra.stanford.edu/kundaje/oak/projects/neuro-variants/variant_position/credible/roussos_2024/variant_figures/roussos_2024.childhood.Astrocyte/rs67082009_count_position.png",4,220,900)</f>
        <v/>
      </c>
      <c r="T2211">
        <f>IMAGE("https://mitra.stanford.edu/kundaje/oak/projects/neuro-variants/variant_position/credible/roussos_2024/variant_figures/roussos_2024.childhood.Astrocyte/rs67082009_profile_position.png",4,220,900)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-0.0334901538</v>
      </c>
      <c r="G2212" t="n">
        <v>0.3500214605588892</v>
      </c>
      <c r="H2212" t="n">
        <v>0.009102450286897301</v>
      </c>
      <c r="I2212" t="n">
        <v>0.7692103729557274</v>
      </c>
      <c r="J2212" t="n">
        <v>0.1174303313411645</v>
      </c>
      <c r="K2212" t="n">
        <v>0.3057663701518857</v>
      </c>
      <c r="L2212" t="b">
        <v>0</v>
      </c>
      <c r="M2212" t="b">
        <v>0</v>
      </c>
      <c r="N2212" t="inlineStr">
        <is>
          <t>ref</t>
        </is>
      </c>
      <c r="O2212" t="n">
        <v>-100</v>
      </c>
      <c r="P2212" t="n">
        <v>0.01358</v>
      </c>
      <c r="Q2212" t="n">
        <v>-100</v>
      </c>
      <c r="R2212" t="n">
        <v>0.05792</v>
      </c>
      <c r="S2212">
        <f>IMAGE("https://mitra.stanford.edu/kundaje/oak/projects/neuro-variants/variant_position/credible/roussos_2024/variant_figures/roussos_2024.childhood.Astrocyte/rs72857431_count_position.png",4,220,900)</f>
        <v/>
      </c>
      <c r="T2212">
        <f>IMAGE("https://mitra.stanford.edu/kundaje/oak/projects/neuro-variants/variant_position/credible/roussos_2024/variant_figures/roussos_2024.childhood.Astrocyte/rs72857431_profile_position.png",4,220,900)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0.0282477658</v>
      </c>
      <c r="G2213" t="n">
        <v>0.3938196392608019</v>
      </c>
      <c r="H2213" t="n">
        <v>0.0075137950072775</v>
      </c>
      <c r="I2213" t="n">
        <v>0.9385899321115776</v>
      </c>
      <c r="J2213" t="n">
        <v>0.0078541824093791</v>
      </c>
      <c r="K2213" t="n">
        <v>0.7328228078333803</v>
      </c>
      <c r="L2213" t="b">
        <v>0</v>
      </c>
      <c r="M2213" t="b">
        <v>0</v>
      </c>
      <c r="N2213" t="inlineStr">
        <is>
          <t>alt</t>
        </is>
      </c>
      <c r="O2213" t="n">
        <v>-95</v>
      </c>
      <c r="P2213" t="n">
        <v>0.02893</v>
      </c>
      <c r="Q2213" t="n">
        <v>-100</v>
      </c>
      <c r="R2213" t="n">
        <v>0.08246000000000001</v>
      </c>
      <c r="S2213">
        <f>IMAGE("https://mitra.stanford.edu/kundaje/oak/projects/neuro-variants/variant_position/credible/roussos_2024/variant_figures/roussos_2024.childhood.Astrocyte/rs72857434_count_position.png",4,220,900)</f>
        <v/>
      </c>
      <c r="T2213">
        <f>IMAGE("https://mitra.stanford.edu/kundaje/oak/projects/neuro-variants/variant_position/credible/roussos_2024/variant_figures/roussos_2024.childhood.Astrocyte/rs72857434_profile_position.png",4,220,900)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-0.0557022474</v>
      </c>
      <c r="G2214" t="n">
        <v>0.1873914656538369</v>
      </c>
      <c r="H2214" t="n">
        <v>0.0182818398709468</v>
      </c>
      <c r="I2214" t="n">
        <v>0.1707300138694132</v>
      </c>
      <c r="J2214" t="n">
        <v>0.0270591468022256</v>
      </c>
      <c r="K2214" t="n">
        <v>0.5633329399235543</v>
      </c>
      <c r="L2214" t="b">
        <v>0</v>
      </c>
      <c r="M2214" t="b">
        <v>0</v>
      </c>
      <c r="N2214" t="inlineStr">
        <is>
          <t>ref</t>
        </is>
      </c>
      <c r="O2214" t="n">
        <v>-100</v>
      </c>
      <c r="P2214" t="n">
        <v>0.005814</v>
      </c>
      <c r="Q2214" t="n">
        <v>-45</v>
      </c>
      <c r="R2214" t="n">
        <v>0.0677</v>
      </c>
      <c r="S2214">
        <f>IMAGE("https://mitra.stanford.edu/kundaje/oak/projects/neuro-variants/variant_position/credible/roussos_2024/variant_figures/roussos_2024.childhood.Astrocyte/rs6721450_count_position.png",4,220,900)</f>
        <v/>
      </c>
      <c r="T2214">
        <f>IMAGE("https://mitra.stanford.edu/kundaje/oak/projects/neuro-variants/variant_position/credible/roussos_2024/variant_figures/roussos_2024.childhood.Astrocyte/rs6721450_profile_position.png",4,220,900)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0.0150190142399999</v>
      </c>
      <c r="G2215" t="n">
        <v>0.5522035820489631</v>
      </c>
      <c r="H2215" t="n">
        <v>0.0165519163281005</v>
      </c>
      <c r="I2215" t="n">
        <v>0.2260798280130997</v>
      </c>
      <c r="J2215" t="n">
        <v>0.0139314419179775</v>
      </c>
      <c r="K2215" t="n">
        <v>0.6476115183714679</v>
      </c>
      <c r="L2215" t="b">
        <v>0</v>
      </c>
      <c r="M2215" t="b">
        <v>0</v>
      </c>
      <c r="N2215" t="inlineStr">
        <is>
          <t>alt</t>
        </is>
      </c>
      <c r="O2215" t="n">
        <v>5</v>
      </c>
      <c r="P2215" t="n">
        <v>0.00073</v>
      </c>
      <c r="Q2215" t="n">
        <v>0</v>
      </c>
      <c r="R2215" t="n">
        <v>0</v>
      </c>
      <c r="S2215">
        <f>IMAGE("https://mitra.stanford.edu/kundaje/oak/projects/neuro-variants/variant_position/credible/roussos_2024/variant_figures/roussos_2024.childhood.Astrocyte/rs34624969_count_position.png",4,220,900)</f>
        <v/>
      </c>
      <c r="T2215">
        <f>IMAGE("https://mitra.stanford.edu/kundaje/oak/projects/neuro-variants/variant_position/credible/roussos_2024/variant_figures/roussos_2024.childhood.Astrocyte/rs34624969_profile_position.png",4,220,900)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-0.0800508706</v>
      </c>
      <c r="G2216" t="n">
        <v>0.1040188027651086</v>
      </c>
      <c r="H2216" t="n">
        <v>0.0133777395600239</v>
      </c>
      <c r="I2216" t="n">
        <v>0.400637201023711</v>
      </c>
      <c r="J2216" t="n">
        <v>0.0033943196476685</v>
      </c>
      <c r="K2216" t="n">
        <v>0.8272870814656325</v>
      </c>
      <c r="L2216" t="b">
        <v>0</v>
      </c>
      <c r="M2216" t="b">
        <v>0</v>
      </c>
      <c r="N2216" t="inlineStr">
        <is>
          <t>ref</t>
        </is>
      </c>
      <c r="O2216" t="n">
        <v>-35</v>
      </c>
      <c r="P2216" t="n">
        <v>0.00267</v>
      </c>
      <c r="Q2216" t="n">
        <v>55</v>
      </c>
      <c r="R2216" t="n">
        <v>0.031</v>
      </c>
      <c r="S2216">
        <f>IMAGE("https://mitra.stanford.edu/kundaje/oak/projects/neuro-variants/variant_position/credible/roussos_2024/variant_figures/roussos_2024.childhood.Astrocyte/rs4556924_count_position.png",4,220,900)</f>
        <v/>
      </c>
      <c r="T2216">
        <f>IMAGE("https://mitra.stanford.edu/kundaje/oak/projects/neuro-variants/variant_position/credible/roussos_2024/variant_figures/roussos_2024.childhood.Astrocyte/rs4556924_profile_position.png",4,220,900)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-0.0150109997999999</v>
      </c>
      <c r="G2217" t="n">
        <v>0.6252277707173455</v>
      </c>
      <c r="H2217" t="n">
        <v>0.0215282527465597</v>
      </c>
      <c r="I2217" t="n">
        <v>0.0983047542331863</v>
      </c>
      <c r="J2217" t="n">
        <v>0.0053101600604519</v>
      </c>
      <c r="K2217" t="n">
        <v>0.7672535516815805</v>
      </c>
      <c r="L2217" t="b">
        <v>0</v>
      </c>
      <c r="M2217" t="b">
        <v>0</v>
      </c>
      <c r="N2217" t="inlineStr">
        <is>
          <t>ref</t>
        </is>
      </c>
      <c r="O2217" t="n">
        <v>-60</v>
      </c>
      <c r="P2217" t="n">
        <v>0.004967</v>
      </c>
      <c r="Q2217" t="n">
        <v>-100</v>
      </c>
      <c r="R2217" t="n">
        <v>0.0636</v>
      </c>
      <c r="S2217">
        <f>IMAGE("https://mitra.stanford.edu/kundaje/oak/projects/neuro-variants/variant_position/credible/roussos_2024/variant_figures/roussos_2024.childhood.Astrocyte/rs7559983_count_position.png",4,220,900)</f>
        <v/>
      </c>
      <c r="T2217">
        <f>IMAGE("https://mitra.stanford.edu/kundaje/oak/projects/neuro-variants/variant_position/credible/roussos_2024/variant_figures/roussos_2024.childhood.Astrocyte/rs7559983_profile_position.png",4,220,900)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0.00105446858</v>
      </c>
      <c r="G2218" t="n">
        <v>0.7918758044838268</v>
      </c>
      <c r="H2218" t="n">
        <v>0.0095847082601196</v>
      </c>
      <c r="I2218" t="n">
        <v>0.7507377417273134</v>
      </c>
      <c r="J2218" t="n">
        <v>0.0022783998534496</v>
      </c>
      <c r="K2218" t="n">
        <v>0.8526911830149776</v>
      </c>
      <c r="L2218" t="b">
        <v>0</v>
      </c>
      <c r="M2218" t="b">
        <v>0</v>
      </c>
      <c r="N2218" t="inlineStr">
        <is>
          <t>alt</t>
        </is>
      </c>
      <c r="O2218" t="n">
        <v>-15</v>
      </c>
      <c r="P2218" t="n">
        <v>0.002556</v>
      </c>
      <c r="Q2218" t="n">
        <v>75</v>
      </c>
      <c r="R2218" t="n">
        <v>0.08026</v>
      </c>
      <c r="S2218">
        <f>IMAGE("https://mitra.stanford.edu/kundaje/oak/projects/neuro-variants/variant_position/credible/roussos_2024/variant_figures/roussos_2024.childhood.Astrocyte/rs3934919_count_position.png",4,220,900)</f>
        <v/>
      </c>
      <c r="T2218">
        <f>IMAGE("https://mitra.stanford.edu/kundaje/oak/projects/neuro-variants/variant_position/credible/roussos_2024/variant_figures/roussos_2024.childhood.Astrocyte/rs3934919_profile_position.png",4,220,900)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0.00039301972</v>
      </c>
      <c r="G2219" t="n">
        <v>0.7874042354753676</v>
      </c>
      <c r="H2219" t="n">
        <v>0.0083025674563257</v>
      </c>
      <c r="I2219" t="n">
        <v>0.887643089873782</v>
      </c>
      <c r="J2219" t="n">
        <v>0.0024188439315181</v>
      </c>
      <c r="K2219" t="n">
        <v>0.859297309492804</v>
      </c>
      <c r="L2219" t="b">
        <v>0</v>
      </c>
      <c r="M2219" t="b">
        <v>0</v>
      </c>
      <c r="N2219" t="inlineStr">
        <is>
          <t>alt</t>
        </is>
      </c>
      <c r="O2219" t="n">
        <v>-100</v>
      </c>
      <c r="P2219" t="n">
        <v>0.01141</v>
      </c>
      <c r="Q2219" t="n">
        <v>-20</v>
      </c>
      <c r="R2219" t="n">
        <v>0.0185</v>
      </c>
      <c r="S2219">
        <f>IMAGE("https://mitra.stanford.edu/kundaje/oak/projects/neuro-variants/variant_position/credible/roussos_2024/variant_figures/roussos_2024.childhood.Astrocyte/rs13022139_count_position.png",4,220,900)</f>
        <v/>
      </c>
      <c r="T2219">
        <f>IMAGE("https://mitra.stanford.edu/kundaje/oak/projects/neuro-variants/variant_position/credible/roussos_2024/variant_figures/roussos_2024.childhood.Astrocyte/rs13022139_profile_position.png",4,220,900)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0.0602241442</v>
      </c>
      <c r="G2220" t="n">
        <v>0.1648789353642242</v>
      </c>
      <c r="H2220" t="n">
        <v>0.0153723174996806</v>
      </c>
      <c r="I2220" t="n">
        <v>0.2835306391948048</v>
      </c>
      <c r="J2220" t="n">
        <v>0.0288666010243258</v>
      </c>
      <c r="K2220" t="n">
        <v>0.5428100069495381</v>
      </c>
      <c r="L2220" t="b">
        <v>0</v>
      </c>
      <c r="M2220" t="b">
        <v>0</v>
      </c>
      <c r="N2220" t="inlineStr">
        <is>
          <t>alt</t>
        </is>
      </c>
      <c r="O2220" t="n">
        <v>-90</v>
      </c>
      <c r="P2220" t="n">
        <v>0.01218</v>
      </c>
      <c r="Q2220" t="n">
        <v>70</v>
      </c>
      <c r="R2220" t="n">
        <v>0.0146</v>
      </c>
      <c r="S2220">
        <f>IMAGE("https://mitra.stanford.edu/kundaje/oak/projects/neuro-variants/variant_position/credible/roussos_2024/variant_figures/roussos_2024.childhood.Astrocyte/rs2254296_count_position.png",4,220,900)</f>
        <v/>
      </c>
      <c r="T2220">
        <f>IMAGE("https://mitra.stanford.edu/kundaje/oak/projects/neuro-variants/variant_position/credible/roussos_2024/variant_figures/roussos_2024.childhood.Astrocyte/rs2254296_profile_position.png",4,220,900)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-0.005790083008</v>
      </c>
      <c r="G2221" t="n">
        <v>0.842311418402214</v>
      </c>
      <c r="H2221" t="n">
        <v>0.0369484126808722</v>
      </c>
      <c r="I2221" t="n">
        <v>0.0133346108096878</v>
      </c>
      <c r="J2221" t="n">
        <v>0.0105027745338248</v>
      </c>
      <c r="K2221" t="n">
        <v>0.6884734021551255</v>
      </c>
      <c r="L2221" t="b">
        <v>1</v>
      </c>
      <c r="M2221" t="b">
        <v>0</v>
      </c>
      <c r="N2221" t="inlineStr">
        <is>
          <t>ref</t>
        </is>
      </c>
      <c r="O2221" t="n">
        <v>90</v>
      </c>
      <c r="P2221" t="n">
        <v>0.0094</v>
      </c>
      <c r="Q2221" t="n">
        <v>-100</v>
      </c>
      <c r="R2221" t="n">
        <v>0.0935</v>
      </c>
      <c r="S2221">
        <f>IMAGE("https://mitra.stanford.edu/kundaje/oak/projects/neuro-variants/variant_position/credible/roussos_2024/variant_figures/roussos_2024.childhood.Astrocyte/rs1451083_count_position.png",4,220,900)</f>
        <v/>
      </c>
      <c r="T2221">
        <f>IMAGE("https://mitra.stanford.edu/kundaje/oak/projects/neuro-variants/variant_position/credible/roussos_2024/variant_figures/roussos_2024.childhood.Astrocyte/rs1451083_profile_position.png",4,220,900)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-0.1403215772</v>
      </c>
      <c r="G2222" t="n">
        <v>0.0367743300829965</v>
      </c>
      <c r="H2222" t="n">
        <v>0.0126148267599313</v>
      </c>
      <c r="I2222" t="n">
        <v>0.4561661780012107</v>
      </c>
      <c r="J2222" t="n">
        <v>0.2198308564798912</v>
      </c>
      <c r="K2222" t="n">
        <v>0.183552587803006</v>
      </c>
      <c r="L2222" t="b">
        <v>0</v>
      </c>
      <c r="M2222" t="b">
        <v>0</v>
      </c>
      <c r="N2222" t="inlineStr">
        <is>
          <t>ref</t>
        </is>
      </c>
      <c r="O2222" t="n">
        <v>85</v>
      </c>
      <c r="P2222" t="n">
        <v>0.013885</v>
      </c>
      <c r="Q2222" t="n">
        <v>95</v>
      </c>
      <c r="R2222" t="n">
        <v>0.11816</v>
      </c>
      <c r="S2222">
        <f>IMAGE("https://mitra.stanford.edu/kundaje/oak/projects/neuro-variants/variant_position/credible/roussos_2024/variant_figures/roussos_2024.childhood.Astrocyte/rs6743215_count_position.png",4,220,900)</f>
        <v/>
      </c>
      <c r="T2222">
        <f>IMAGE("https://mitra.stanford.edu/kundaje/oak/projects/neuro-variants/variant_position/credible/roussos_2024/variant_figures/roussos_2024.childhood.Astrocyte/rs6743215_profile_position.png",4,220,900)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-0.0656758828</v>
      </c>
      <c r="G2223" t="n">
        <v>0.1444109990953964</v>
      </c>
      <c r="H2223" t="n">
        <v>0.0105745843977007</v>
      </c>
      <c r="I2223" t="n">
        <v>0.6564002860739765</v>
      </c>
      <c r="J2223" t="n">
        <v>0.0007609931838824</v>
      </c>
      <c r="K2223" t="n">
        <v>0.9340002970670992</v>
      </c>
      <c r="L2223" t="b">
        <v>0</v>
      </c>
      <c r="M2223" t="b">
        <v>0</v>
      </c>
      <c r="N2223" t="inlineStr">
        <is>
          <t>ref</t>
        </is>
      </c>
      <c r="O2223" t="n">
        <v>-55</v>
      </c>
      <c r="P2223" t="n">
        <v>0.002663</v>
      </c>
      <c r="Q2223" t="n">
        <v>-80</v>
      </c>
      <c r="R2223" t="n">
        <v>0.10706</v>
      </c>
      <c r="S2223">
        <f>IMAGE("https://mitra.stanford.edu/kundaje/oak/projects/neuro-variants/variant_position/credible/roussos_2024/variant_figures/roussos_2024.childhood.Astrocyte/rs61064806_count_position.png",4,220,900)</f>
        <v/>
      </c>
      <c r="T2223">
        <f>IMAGE("https://mitra.stanford.edu/kundaje/oak/projects/neuro-variants/variant_position/credible/roussos_2024/variant_figures/roussos_2024.childhood.Astrocyte/rs61064806_profile_position.png",4,220,900)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0.00238648354</v>
      </c>
      <c r="G2224" t="n">
        <v>0.8542995463901536</v>
      </c>
      <c r="H2224" t="n">
        <v>0.0330159403900995</v>
      </c>
      <c r="I2224" t="n">
        <v>0.0209252258625896</v>
      </c>
      <c r="J2224" t="n">
        <v>0.0065283597810903</v>
      </c>
      <c r="K2224" t="n">
        <v>0.7462065934390394</v>
      </c>
      <c r="L2224" t="b">
        <v>0</v>
      </c>
      <c r="M2224" t="b">
        <v>0</v>
      </c>
      <c r="N2224" t="inlineStr">
        <is>
          <t>alt</t>
        </is>
      </c>
      <c r="O2224" t="n">
        <v>30</v>
      </c>
      <c r="P2224" t="n">
        <v>0.009926000000000001</v>
      </c>
      <c r="Q2224" t="n">
        <v>65</v>
      </c>
      <c r="R2224" t="n">
        <v>0.1505</v>
      </c>
      <c r="S2224">
        <f>IMAGE("https://mitra.stanford.edu/kundaje/oak/projects/neuro-variants/variant_position/credible/roussos_2024/variant_figures/roussos_2024.childhood.Astrocyte/rs4664536_count_position.png",4,220,900)</f>
        <v/>
      </c>
      <c r="T2224">
        <f>IMAGE("https://mitra.stanford.edu/kundaje/oak/projects/neuro-variants/variant_position/credible/roussos_2024/variant_figures/roussos_2024.childhood.Astrocyte/rs4664536_profile_position.png",4,220,900)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-0.0232493744</v>
      </c>
      <c r="G2225" t="n">
        <v>0.4696305979967071</v>
      </c>
      <c r="H2225" t="n">
        <v>0.0171508218066486</v>
      </c>
      <c r="I2225" t="n">
        <v>0.2058301136319557</v>
      </c>
      <c r="J2225" t="n">
        <v>0.1458465953760313</v>
      </c>
      <c r="K2225" t="n">
        <v>0.2631095111590946</v>
      </c>
      <c r="L2225" t="b">
        <v>0</v>
      </c>
      <c r="M2225" t="b">
        <v>0</v>
      </c>
      <c r="N2225" t="inlineStr">
        <is>
          <t>ref</t>
        </is>
      </c>
      <c r="O2225" t="n">
        <v>30</v>
      </c>
      <c r="P2225" t="n">
        <v>0.05078</v>
      </c>
      <c r="Q2225" t="n">
        <v>-85</v>
      </c>
      <c r="R2225" t="n">
        <v>0.01697</v>
      </c>
      <c r="S2225">
        <f>IMAGE("https://mitra.stanford.edu/kundaje/oak/projects/neuro-variants/variant_position/credible/roussos_2024/variant_figures/roussos_2024.childhood.Astrocyte/rs191529620_count_position.png",4,220,900)</f>
        <v/>
      </c>
      <c r="T2225">
        <f>IMAGE("https://mitra.stanford.edu/kundaje/oak/projects/neuro-variants/variant_position/credible/roussos_2024/variant_figures/roussos_2024.childhood.Astrocyte/rs191529620_profile_position.png",4,220,900)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-0.02432726381</v>
      </c>
      <c r="G2226" t="n">
        <v>0.4856993158660933</v>
      </c>
      <c r="H2226" t="n">
        <v>0.0069874218351324</v>
      </c>
      <c r="I2226" t="n">
        <v>0.9368993754699776</v>
      </c>
      <c r="J2226" t="n">
        <v>0.0837855785303748</v>
      </c>
      <c r="K2226" t="n">
        <v>0.3556628010763606</v>
      </c>
      <c r="L2226" t="b">
        <v>0</v>
      </c>
      <c r="M2226" t="b">
        <v>0</v>
      </c>
      <c r="N2226" t="inlineStr">
        <is>
          <t>ref</t>
        </is>
      </c>
      <c r="O2226" t="n">
        <v>55</v>
      </c>
      <c r="P2226" t="n">
        <v>0.03044</v>
      </c>
      <c r="Q2226" t="n">
        <v>-95</v>
      </c>
      <c r="R2226" t="n">
        <v>0.0636</v>
      </c>
      <c r="S2226">
        <f>IMAGE("https://mitra.stanford.edu/kundaje/oak/projects/neuro-variants/variant_position/credible/roussos_2024/variant_figures/roussos_2024.childhood.Astrocyte/rs3963509_count_position.png",4,220,900)</f>
        <v/>
      </c>
      <c r="T2226">
        <f>IMAGE("https://mitra.stanford.edu/kundaje/oak/projects/neuro-variants/variant_position/credible/roussos_2024/variant_figures/roussos_2024.childhood.Astrocyte/rs3963509_profile_position.png",4,220,900)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-0.0264236084</v>
      </c>
      <c r="G2227" t="n">
        <v>0.4373918355127518</v>
      </c>
      <c r="H2227" t="n">
        <v>0.0350761990274999</v>
      </c>
      <c r="I2227" t="n">
        <v>0.0161065028498922</v>
      </c>
      <c r="J2227" t="n">
        <v>0.0420065184371016</v>
      </c>
      <c r="K2227" t="n">
        <v>0.4873449027648852</v>
      </c>
      <c r="L2227" t="b">
        <v>1</v>
      </c>
      <c r="M2227" t="b">
        <v>0</v>
      </c>
      <c r="N2227" t="inlineStr">
        <is>
          <t>ref</t>
        </is>
      </c>
      <c r="O2227" t="n">
        <v>95</v>
      </c>
      <c r="P2227" t="n">
        <v>0.004826</v>
      </c>
      <c r="Q2227" t="n">
        <v>-95</v>
      </c>
      <c r="R2227" t="n">
        <v>0.3557</v>
      </c>
      <c r="S2227">
        <f>IMAGE("https://mitra.stanford.edu/kundaje/oak/projects/neuro-variants/variant_position/credible/roussos_2024/variant_figures/roussos_2024.childhood.Astrocyte/rs62177360_count_position.png",4,220,900)</f>
        <v/>
      </c>
      <c r="T2227">
        <f>IMAGE("https://mitra.stanford.edu/kundaje/oak/projects/neuro-variants/variant_position/credible/roussos_2024/variant_figures/roussos_2024.childhood.Astrocyte/rs62177360_profile_position.png",4,220,900)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0.0408817617999999</v>
      </c>
      <c r="G2228" t="n">
        <v>0.2939000031676728</v>
      </c>
      <c r="H2228" t="n">
        <v>0.0250106235915865</v>
      </c>
      <c r="I2228" t="n">
        <v>0.060149395885676</v>
      </c>
      <c r="J2228" t="n">
        <v>0.4938158808667842</v>
      </c>
      <c r="K2228" t="n">
        <v>0.0563365269381451</v>
      </c>
      <c r="L2228" t="b">
        <v>0</v>
      </c>
      <c r="M2228" t="b">
        <v>0</v>
      </c>
      <c r="N2228" t="inlineStr">
        <is>
          <t>alt</t>
        </is>
      </c>
      <c r="O2228" t="n">
        <v>100</v>
      </c>
      <c r="P2228" t="n">
        <v>0.07074</v>
      </c>
      <c r="Q2228" t="n">
        <v>80</v>
      </c>
      <c r="R2228" t="n">
        <v>0.5967</v>
      </c>
      <c r="S2228">
        <f>IMAGE("https://mitra.stanford.edu/kundaje/oak/projects/neuro-variants/variant_position/credible/roussos_2024/variant_figures/roussos_2024.childhood.Astrocyte/rs6732917_count_position.png",4,220,900)</f>
        <v/>
      </c>
      <c r="T2228">
        <f>IMAGE("https://mitra.stanford.edu/kundaje/oak/projects/neuro-variants/variant_position/credible/roussos_2024/variant_figures/roussos_2024.childhood.Astrocyte/rs6732917_profile_position.png",4,220,900)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0.0287408468</v>
      </c>
      <c r="G2229" t="n">
        <v>0.393920363391157</v>
      </c>
      <c r="H2229" t="n">
        <v>0.0250760672711614</v>
      </c>
      <c r="I2229" t="n">
        <v>0.0592145112096811</v>
      </c>
      <c r="J2229" t="n">
        <v>0.0031012189630036</v>
      </c>
      <c r="K2229" t="n">
        <v>0.8260237853705062</v>
      </c>
      <c r="L2229" t="b">
        <v>0</v>
      </c>
      <c r="M2229" t="b">
        <v>0</v>
      </c>
      <c r="N2229" t="inlineStr">
        <is>
          <t>alt</t>
        </is>
      </c>
      <c r="O2229" t="n">
        <v>30</v>
      </c>
      <c r="P2229" t="n">
        <v>0.0006713999999999999</v>
      </c>
      <c r="Q2229" t="n">
        <v>0</v>
      </c>
      <c r="R2229" t="n">
        <v>0</v>
      </c>
      <c r="S2229">
        <f>IMAGE("https://mitra.stanford.edu/kundaje/oak/projects/neuro-variants/variant_position/credible/roussos_2024/variant_figures/roussos_2024.childhood.Astrocyte/rs72865150_count_position.png",4,220,900)</f>
        <v/>
      </c>
      <c r="T2229">
        <f>IMAGE("https://mitra.stanford.edu/kundaje/oak/projects/neuro-variants/variant_position/credible/roussos_2024/variant_figures/roussos_2024.childhood.Astrocyte/rs72865150_profile_position.png",4,220,900)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0.00060281442</v>
      </c>
      <c r="G2230" t="n">
        <v>0.8689060339244016</v>
      </c>
      <c r="H2230" t="n">
        <v>0.027573700442829</v>
      </c>
      <c r="I2230" t="n">
        <v>0.0404404805754309</v>
      </c>
      <c r="J2230" t="n">
        <v>0.0033813438361078</v>
      </c>
      <c r="K2230" t="n">
        <v>0.8294523543258328</v>
      </c>
      <c r="L2230" t="b">
        <v>0</v>
      </c>
      <c r="M2230" t="b">
        <v>0</v>
      </c>
      <c r="N2230" t="inlineStr">
        <is>
          <t>alt</t>
        </is>
      </c>
      <c r="O2230" t="n">
        <v>75</v>
      </c>
      <c r="P2230" t="n">
        <v>0.006294</v>
      </c>
      <c r="Q2230" t="n">
        <v>100</v>
      </c>
      <c r="R2230" t="n">
        <v>0.08765000000000001</v>
      </c>
      <c r="S2230">
        <f>IMAGE("https://mitra.stanford.edu/kundaje/oak/projects/neuro-variants/variant_position/credible/roussos_2024/variant_figures/roussos_2024.childhood.Astrocyte/rs34849522_count_position.png",4,220,900)</f>
        <v/>
      </c>
      <c r="T2230">
        <f>IMAGE("https://mitra.stanford.edu/kundaje/oak/projects/neuro-variants/variant_position/credible/roussos_2024/variant_figures/roussos_2024.childhood.Astrocyte/rs34849522_profile_position.png",4,220,900)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0.0172679734</v>
      </c>
      <c r="G2231" t="n">
        <v>0.4904424086843446</v>
      </c>
      <c r="H2231" t="n">
        <v>0.0107144224562816</v>
      </c>
      <c r="I2231" t="n">
        <v>0.6140377720052328</v>
      </c>
      <c r="J2231" t="n">
        <v>0.0014716096875881</v>
      </c>
      <c r="K2231" t="n">
        <v>0.8881996250328466</v>
      </c>
      <c r="L2231" t="b">
        <v>0</v>
      </c>
      <c r="M2231" t="b">
        <v>0</v>
      </c>
      <c r="N2231" t="inlineStr">
        <is>
          <t>alt</t>
        </is>
      </c>
      <c r="O2231" t="n">
        <v>5</v>
      </c>
      <c r="P2231" t="n">
        <v>7.6e-06</v>
      </c>
      <c r="Q2231" t="n">
        <v>25</v>
      </c>
      <c r="R2231" t="n">
        <v>0.0527</v>
      </c>
      <c r="S2231">
        <f>IMAGE("https://mitra.stanford.edu/kundaje/oak/projects/neuro-variants/variant_position/credible/roussos_2024/variant_figures/roussos_2024.childhood.Astrocyte/rs62177111_count_position.png",4,220,900)</f>
        <v/>
      </c>
      <c r="T2231">
        <f>IMAGE("https://mitra.stanford.edu/kundaje/oak/projects/neuro-variants/variant_position/credible/roussos_2024/variant_figures/roussos_2024.childhood.Astrocyte/rs62177111_profile_position.png",4,220,900)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0.077574904</v>
      </c>
      <c r="G2232" t="n">
        <v>0.1135927955097976</v>
      </c>
      <c r="H2232" t="n">
        <v>0.0135572280176199</v>
      </c>
      <c r="I2232" t="n">
        <v>0.3858060489511907</v>
      </c>
      <c r="J2232" t="n">
        <v>0.0053613000236617</v>
      </c>
      <c r="K2232" t="n">
        <v>0.8125939927305681</v>
      </c>
      <c r="L2232" t="b">
        <v>0</v>
      </c>
      <c r="M2232" t="b">
        <v>0</v>
      </c>
      <c r="N2232" t="inlineStr">
        <is>
          <t>alt</t>
        </is>
      </c>
      <c r="O2232" t="n">
        <v>95</v>
      </c>
      <c r="P2232" t="n">
        <v>0.02661</v>
      </c>
      <c r="Q2232" t="n">
        <v>40</v>
      </c>
      <c r="R2232" t="n">
        <v>0.1279</v>
      </c>
      <c r="S2232">
        <f>IMAGE("https://mitra.stanford.edu/kundaje/oak/projects/neuro-variants/variant_position/credible/roussos_2024/variant_figures/roussos_2024.childhood.Astrocyte/rs13019836_count_position.png",4,220,900)</f>
        <v/>
      </c>
      <c r="T2232">
        <f>IMAGE("https://mitra.stanford.edu/kundaje/oak/projects/neuro-variants/variant_position/credible/roussos_2024/variant_figures/roussos_2024.childhood.Astrocyte/rs13019836_profile_position.png",4,220,900)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0.0179411549</v>
      </c>
      <c r="G2233" t="n">
        <v>0.5651517409675866</v>
      </c>
      <c r="H2233" t="n">
        <v>0.0218759179893054</v>
      </c>
      <c r="I2233" t="n">
        <v>0.0966563300150597</v>
      </c>
      <c r="J2233" t="n">
        <v>0.0374512452962682</v>
      </c>
      <c r="K2233" t="n">
        <v>0.4904569104436077</v>
      </c>
      <c r="L2233" t="b">
        <v>0</v>
      </c>
      <c r="M2233" t="b">
        <v>0</v>
      </c>
      <c r="N2233" t="inlineStr">
        <is>
          <t>alt</t>
        </is>
      </c>
      <c r="O2233" t="n">
        <v>-60</v>
      </c>
      <c r="P2233" t="n">
        <v>0.002443</v>
      </c>
      <c r="Q2233" t="n">
        <v>60</v>
      </c>
      <c r="R2233" t="n">
        <v>0.04514</v>
      </c>
      <c r="S2233">
        <f>IMAGE("https://mitra.stanford.edu/kundaje/oak/projects/neuro-variants/variant_position/credible/roussos_2024/variant_figures/roussos_2024.childhood.Astrocyte/rs17643843_count_position.png",4,220,900)</f>
        <v/>
      </c>
      <c r="T2233">
        <f>IMAGE("https://mitra.stanford.edu/kundaje/oak/projects/neuro-variants/variant_position/credible/roussos_2024/variant_figures/roussos_2024.childhood.Astrocyte/rs17643843_profile_position.png",4,220,900)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-0.0210547612</v>
      </c>
      <c r="G2234" t="n">
        <v>0.516217693661751</v>
      </c>
      <c r="H2234" t="n">
        <v>0.0130725967262664</v>
      </c>
      <c r="I2234" t="n">
        <v>0.4296624908513622</v>
      </c>
      <c r="J2234" t="n">
        <v>0.0007602299008494</v>
      </c>
      <c r="K2234" t="n">
        <v>0.9264209555036044</v>
      </c>
      <c r="L2234" t="b">
        <v>0</v>
      </c>
      <c r="M2234" t="b">
        <v>0</v>
      </c>
      <c r="N2234" t="inlineStr">
        <is>
          <t>ref</t>
        </is>
      </c>
      <c r="O2234" t="n">
        <v>-100</v>
      </c>
      <c r="P2234" t="n">
        <v>0.01689</v>
      </c>
      <c r="Q2234" t="n">
        <v>90</v>
      </c>
      <c r="R2234" t="n">
        <v>0.10565</v>
      </c>
      <c r="S2234">
        <f>IMAGE("https://mitra.stanford.edu/kundaje/oak/projects/neuro-variants/variant_position/credible/roussos_2024/variant_figures/roussos_2024.childhood.Astrocyte/rs12986694_count_position.png",4,220,900)</f>
        <v/>
      </c>
      <c r="T2234">
        <f>IMAGE("https://mitra.stanford.edu/kundaje/oak/projects/neuro-variants/variant_position/credible/roussos_2024/variant_figures/roussos_2024.childhood.Astrocyte/rs12986694_profile_position.png",4,220,900)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0.001204203542</v>
      </c>
      <c r="G2235" t="n">
        <v>0.793700563813595</v>
      </c>
      <c r="H2235" t="n">
        <v>0.0120579641158481</v>
      </c>
      <c r="I2235" t="n">
        <v>0.5151841095574847</v>
      </c>
      <c r="J2235" t="n">
        <v>0.0094960042133223</v>
      </c>
      <c r="K2235" t="n">
        <v>0.6987313856107904</v>
      </c>
      <c r="L2235" t="b">
        <v>0</v>
      </c>
      <c r="M2235" t="b">
        <v>0</v>
      </c>
      <c r="N2235" t="inlineStr">
        <is>
          <t>alt</t>
        </is>
      </c>
      <c r="O2235" t="n">
        <v>90</v>
      </c>
      <c r="P2235" t="n">
        <v>0.0182</v>
      </c>
      <c r="Q2235" t="n">
        <v>-45</v>
      </c>
      <c r="R2235" t="n">
        <v>0.0505</v>
      </c>
      <c r="S2235">
        <f>IMAGE("https://mitra.stanford.edu/kundaje/oak/projects/neuro-variants/variant_position/credible/roussos_2024/variant_figures/roussos_2024.childhood.Astrocyte/rs36078004_count_position.png",4,220,900)</f>
        <v/>
      </c>
      <c r="T2235">
        <f>IMAGE("https://mitra.stanford.edu/kundaje/oak/projects/neuro-variants/variant_position/credible/roussos_2024/variant_figures/roussos_2024.childhood.Astrocyte/rs36078004_profile_position.png",4,220,900)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0.0386660854</v>
      </c>
      <c r="G2236" t="n">
        <v>0.2869501323409122</v>
      </c>
      <c r="H2236" t="n">
        <v>0.0176571590033849</v>
      </c>
      <c r="I2236" t="n">
        <v>0.1846841810524739</v>
      </c>
      <c r="J2236" t="n">
        <v>0.2828070496820926</v>
      </c>
      <c r="K2236" t="n">
        <v>0.1452226236885215</v>
      </c>
      <c r="L2236" t="b">
        <v>0</v>
      </c>
      <c r="M2236" t="b">
        <v>0</v>
      </c>
      <c r="N2236" t="inlineStr">
        <is>
          <t>alt</t>
        </is>
      </c>
      <c r="O2236" t="n">
        <v>95</v>
      </c>
      <c r="P2236" t="n">
        <v>0.018</v>
      </c>
      <c r="Q2236" t="n">
        <v>-50</v>
      </c>
      <c r="R2236" t="n">
        <v>0.1223</v>
      </c>
      <c r="S2236">
        <f>IMAGE("https://mitra.stanford.edu/kundaje/oak/projects/neuro-variants/variant_position/credible/roussos_2024/variant_figures/roussos_2024.childhood.Astrocyte/rs67625651_count_position.png",4,220,900)</f>
        <v/>
      </c>
      <c r="T2236">
        <f>IMAGE("https://mitra.stanford.edu/kundaje/oak/projects/neuro-variants/variant_position/credible/roussos_2024/variant_figures/roussos_2024.childhood.Astrocyte/rs67625651_profile_position.png",4,220,900)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0.0621503142</v>
      </c>
      <c r="G2237" t="n">
        <v>0.1527055727601133</v>
      </c>
      <c r="H2237" t="n">
        <v>0.0124058843361797</v>
      </c>
      <c r="I2237" t="n">
        <v>0.4837870658984844</v>
      </c>
      <c r="J2237" t="n">
        <v>0.0013708563272346</v>
      </c>
      <c r="K2237" t="n">
        <v>0.9038333222603472</v>
      </c>
      <c r="L2237" t="b">
        <v>0</v>
      </c>
      <c r="M2237" t="b">
        <v>0</v>
      </c>
      <c r="N2237" t="inlineStr">
        <is>
          <t>alt</t>
        </is>
      </c>
      <c r="O2237" t="n">
        <v>-15</v>
      </c>
      <c r="P2237" t="n">
        <v>0.002792</v>
      </c>
      <c r="Q2237" t="n">
        <v>-15</v>
      </c>
      <c r="R2237" t="n">
        <v>0.01726</v>
      </c>
      <c r="S2237">
        <f>IMAGE("https://mitra.stanford.edu/kundaje/oak/projects/neuro-variants/variant_position/credible/roussos_2024/variant_figures/roussos_2024.childhood.Astrocyte/rs12995353_count_position.png",4,220,900)</f>
        <v/>
      </c>
      <c r="T2237">
        <f>IMAGE("https://mitra.stanford.edu/kundaje/oak/projects/neuro-variants/variant_position/credible/roussos_2024/variant_figures/roussos_2024.childhood.Astrocyte/rs12995353_profile_position.png",4,220,900)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0.0014465530799999</v>
      </c>
      <c r="G2238" t="n">
        <v>0.8226780669289647</v>
      </c>
      <c r="H2238" t="n">
        <v>0.0092073565269286</v>
      </c>
      <c r="I2238" t="n">
        <v>0.7843365675026639</v>
      </c>
      <c r="J2238" t="n">
        <v>0.0014334455359391</v>
      </c>
      <c r="K2238" t="n">
        <v>0.8863679371655788</v>
      </c>
      <c r="L2238" t="b">
        <v>0</v>
      </c>
      <c r="M2238" t="b">
        <v>0</v>
      </c>
      <c r="N2238" t="inlineStr">
        <is>
          <t>alt</t>
        </is>
      </c>
      <c r="O2238" t="n">
        <v>95</v>
      </c>
      <c r="P2238" t="n">
        <v>0.00395</v>
      </c>
      <c r="Q2238" t="n">
        <v>-95</v>
      </c>
      <c r="R2238" t="n">
        <v>0.0315</v>
      </c>
      <c r="S2238">
        <f>IMAGE("https://mitra.stanford.edu/kundaje/oak/projects/neuro-variants/variant_position/credible/roussos_2024/variant_figures/roussos_2024.childhood.Astrocyte/rs62174916_count_position.png",4,220,900)</f>
        <v/>
      </c>
      <c r="T2238">
        <f>IMAGE("https://mitra.stanford.edu/kundaje/oak/projects/neuro-variants/variant_position/credible/roussos_2024/variant_figures/roussos_2024.childhood.Astrocyte/rs62174916_profile_position.png",4,220,900)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0.001971773016</v>
      </c>
      <c r="G2239" t="n">
        <v>0.8870195891146999</v>
      </c>
      <c r="H2239" t="n">
        <v>0.033891436381236</v>
      </c>
      <c r="I2239" t="n">
        <v>0.0183535931207243</v>
      </c>
      <c r="J2239" t="n">
        <v>0.0014815323670169</v>
      </c>
      <c r="K2239" t="n">
        <v>0.8977047960633217</v>
      </c>
      <c r="L2239" t="b">
        <v>0</v>
      </c>
      <c r="M2239" t="b">
        <v>0</v>
      </c>
      <c r="N2239" t="inlineStr">
        <is>
          <t>alt</t>
        </is>
      </c>
      <c r="O2239" t="n">
        <v>-40</v>
      </c>
      <c r="P2239" t="n">
        <v>0.001633</v>
      </c>
      <c r="Q2239" t="n">
        <v>30</v>
      </c>
      <c r="R2239" t="n">
        <v>0.02202</v>
      </c>
      <c r="S2239">
        <f>IMAGE("https://mitra.stanford.edu/kundaje/oak/projects/neuro-variants/variant_position/credible/roussos_2024/variant_figures/roussos_2024.childhood.Astrocyte/rs67338739_count_position.png",4,220,900)</f>
        <v/>
      </c>
      <c r="T2239">
        <f>IMAGE("https://mitra.stanford.edu/kundaje/oak/projects/neuro-variants/variant_position/credible/roussos_2024/variant_figures/roussos_2024.childhood.Astrocyte/rs67338739_profile_position.png",4,220,900)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0.0337973978</v>
      </c>
      <c r="G2240" t="n">
        <v>0.1499053174273248</v>
      </c>
      <c r="H2240" t="n">
        <v>0.0131311088157573</v>
      </c>
      <c r="I2240" t="n">
        <v>0.4253029463565063</v>
      </c>
      <c r="J2240" t="n">
        <v>0.0363261661056536</v>
      </c>
      <c r="K2240" t="n">
        <v>0.5318351246235554</v>
      </c>
      <c r="L2240" t="b">
        <v>0</v>
      </c>
      <c r="M2240" t="b">
        <v>0</v>
      </c>
      <c r="N2240" t="inlineStr">
        <is>
          <t>alt</t>
        </is>
      </c>
      <c r="O2240" t="n">
        <v>55</v>
      </c>
      <c r="P2240" t="n">
        <v>0.003654</v>
      </c>
      <c r="Q2240" t="n">
        <v>60</v>
      </c>
      <c r="R2240" t="n">
        <v>0.1338</v>
      </c>
      <c r="S2240">
        <f>IMAGE("https://mitra.stanford.edu/kundaje/oak/projects/neuro-variants/variant_position/credible/roussos_2024/variant_figures/roussos_2024.childhood.Astrocyte/rs35204416_count_position.png",4,220,900)</f>
        <v/>
      </c>
      <c r="T2240">
        <f>IMAGE("https://mitra.stanford.edu/kundaje/oak/projects/neuro-variants/variant_position/credible/roussos_2024/variant_figures/roussos_2024.childhood.Astrocyte/rs35204416_profile_position.png",4,220,900)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0.00693868844</v>
      </c>
      <c r="G2241" t="n">
        <v>0.788128304885497</v>
      </c>
      <c r="H2241" t="n">
        <v>0.0319886369277565</v>
      </c>
      <c r="I2241" t="n">
        <v>0.0234144821442767</v>
      </c>
      <c r="J2241" t="n">
        <v>0.0006487905780341</v>
      </c>
      <c r="K2241" t="n">
        <v>0.933903699666991</v>
      </c>
      <c r="L2241" t="b">
        <v>0</v>
      </c>
      <c r="M2241" t="b">
        <v>0</v>
      </c>
      <c r="N2241" t="inlineStr">
        <is>
          <t>alt</t>
        </is>
      </c>
      <c r="O2241" t="n">
        <v>55</v>
      </c>
      <c r="P2241" t="n">
        <v>0.007355</v>
      </c>
      <c r="Q2241" t="n">
        <v>100</v>
      </c>
      <c r="R2241" t="n">
        <v>0.09814000000000001</v>
      </c>
      <c r="S2241">
        <f>IMAGE("https://mitra.stanford.edu/kundaje/oak/projects/neuro-variants/variant_position/credible/roussos_2024/variant_figures/roussos_2024.childhood.Astrocyte/rs72871781_count_position.png",4,220,900)</f>
        <v/>
      </c>
      <c r="T2241">
        <f>IMAGE("https://mitra.stanford.edu/kundaje/oak/projects/neuro-variants/variant_position/credible/roussos_2024/variant_figures/roussos_2024.childhood.Astrocyte/rs72871781_profile_position.png",4,220,900)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0.113886482</v>
      </c>
      <c r="G2242" t="n">
        <v>0.0572811490295037</v>
      </c>
      <c r="H2242" t="n">
        <v>0.0229436556095428</v>
      </c>
      <c r="I2242" t="n">
        <v>0.08069871158109269</v>
      </c>
      <c r="J2242" t="n">
        <v>0.1288063016647202</v>
      </c>
      <c r="K2242" t="n">
        <v>0.2781923561932481</v>
      </c>
      <c r="L2242" t="b">
        <v>0</v>
      </c>
      <c r="M2242" t="b">
        <v>0</v>
      </c>
      <c r="N2242" t="inlineStr">
        <is>
          <t>alt</t>
        </is>
      </c>
      <c r="O2242" t="n">
        <v>-90</v>
      </c>
      <c r="P2242" t="n">
        <v>0.002388</v>
      </c>
      <c r="Q2242" t="n">
        <v>-100</v>
      </c>
      <c r="R2242" t="n">
        <v>0.1919</v>
      </c>
      <c r="S2242">
        <f>IMAGE("https://mitra.stanford.edu/kundaje/oak/projects/neuro-variants/variant_position/credible/roussos_2024/variant_figures/roussos_2024.childhood.Astrocyte/rs62176163_count_position.png",4,220,900)</f>
        <v/>
      </c>
      <c r="T2242">
        <f>IMAGE("https://mitra.stanford.edu/kundaje/oak/projects/neuro-variants/variant_position/credible/roussos_2024/variant_figures/roussos_2024.childhood.Astrocyte/rs62176163_profile_position.png",4,220,900)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-0.0535175106</v>
      </c>
      <c r="G2243" t="n">
        <v>0.1957122325793658</v>
      </c>
      <c r="H2243" t="n">
        <v>0.0206892914430383</v>
      </c>
      <c r="I2243" t="n">
        <v>0.1164250370791011</v>
      </c>
      <c r="J2243" t="n">
        <v>0.0378160945860334</v>
      </c>
      <c r="K2243" t="n">
        <v>0.5055619335335629</v>
      </c>
      <c r="L2243" t="b">
        <v>0</v>
      </c>
      <c r="M2243" t="b">
        <v>0</v>
      </c>
      <c r="N2243" t="inlineStr">
        <is>
          <t>ref</t>
        </is>
      </c>
      <c r="O2243" t="n">
        <v>-95</v>
      </c>
      <c r="P2243" t="n">
        <v>0.01842</v>
      </c>
      <c r="Q2243" t="n">
        <v>-85</v>
      </c>
      <c r="R2243" t="n">
        <v>0.0982</v>
      </c>
      <c r="S2243">
        <f>IMAGE("https://mitra.stanford.edu/kundaje/oak/projects/neuro-variants/variant_position/credible/roussos_2024/variant_figures/roussos_2024.childhood.Astrocyte/rs11892879_count_position.png",4,220,900)</f>
        <v/>
      </c>
      <c r="T2243">
        <f>IMAGE("https://mitra.stanford.edu/kundaje/oak/projects/neuro-variants/variant_position/credible/roussos_2024/variant_figures/roussos_2024.childhood.Astrocyte/rs11892879_profile_position.png",4,220,900)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0.0343982342</v>
      </c>
      <c r="G2244" t="n">
        <v>0.3307497995114077</v>
      </c>
      <c r="H2244" t="n">
        <v>0.0193729779565012</v>
      </c>
      <c r="I2244" t="n">
        <v>0.1403101274774794</v>
      </c>
      <c r="J2244" t="n">
        <v>0.1429064291329867</v>
      </c>
      <c r="K2244" t="n">
        <v>0.2596575798324814</v>
      </c>
      <c r="L2244" t="b">
        <v>0</v>
      </c>
      <c r="M2244" t="b">
        <v>0</v>
      </c>
      <c r="N2244" t="inlineStr">
        <is>
          <t>alt</t>
        </is>
      </c>
      <c r="O2244" t="n">
        <v>-90</v>
      </c>
      <c r="P2244" t="n">
        <v>0.005188</v>
      </c>
      <c r="Q2244" t="n">
        <v>-75</v>
      </c>
      <c r="R2244" t="n">
        <v>0.3274</v>
      </c>
      <c r="S2244">
        <f>IMAGE("https://mitra.stanford.edu/kundaje/oak/projects/neuro-variants/variant_position/credible/roussos_2024/variant_figures/roussos_2024.childhood.Astrocyte/rs12612835_count_position.png",4,220,900)</f>
        <v/>
      </c>
      <c r="T2244">
        <f>IMAGE("https://mitra.stanford.edu/kundaje/oak/projects/neuro-variants/variant_position/credible/roussos_2024/variant_figures/roussos_2024.childhood.Astrocyte/rs12612835_profile_position.png",4,220,900)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-0.0247942808</v>
      </c>
      <c r="G2245" t="n">
        <v>0.4692188920117427</v>
      </c>
      <c r="H2245" t="n">
        <v>0.0208115940607784</v>
      </c>
      <c r="I2245" t="n">
        <v>0.111349805380396</v>
      </c>
      <c r="J2245" t="n">
        <v>0.0093906711547708</v>
      </c>
      <c r="K2245" t="n">
        <v>0.7036910422296099</v>
      </c>
      <c r="L2245" t="b">
        <v>0</v>
      </c>
      <c r="M2245" t="b">
        <v>0</v>
      </c>
      <c r="N2245" t="inlineStr">
        <is>
          <t>ref</t>
        </is>
      </c>
      <c r="O2245" t="n">
        <v>100</v>
      </c>
      <c r="P2245" t="n">
        <v>0.01287</v>
      </c>
      <c r="Q2245" t="n">
        <v>15</v>
      </c>
      <c r="R2245" t="n">
        <v>0.0418</v>
      </c>
      <c r="S2245">
        <f>IMAGE("https://mitra.stanford.edu/kundaje/oak/projects/neuro-variants/variant_position/credible/roussos_2024/variant_figures/roussos_2024.childhood.Astrocyte/rs1881046_count_position.png",4,220,900)</f>
        <v/>
      </c>
      <c r="T2245">
        <f>IMAGE("https://mitra.stanford.edu/kundaje/oak/projects/neuro-variants/variant_position/credible/roussos_2024/variant_figures/roussos_2024.childhood.Astrocyte/rs1881046_profile_position.png",4,220,900)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0.162081696</v>
      </c>
      <c r="G2246" t="n">
        <v>0.0277014601873816</v>
      </c>
      <c r="H2246" t="n">
        <v>0.0177194514518373</v>
      </c>
      <c r="I2246" t="n">
        <v>0.1876550974915482</v>
      </c>
      <c r="J2246" t="n">
        <v>0.0143741460771068</v>
      </c>
      <c r="K2246" t="n">
        <v>0.6418853804130793</v>
      </c>
      <c r="L2246" t="b">
        <v>0</v>
      </c>
      <c r="M2246" t="b">
        <v>0</v>
      </c>
      <c r="N2246" t="inlineStr">
        <is>
          <t>alt</t>
        </is>
      </c>
      <c r="O2246" t="n">
        <v>-95</v>
      </c>
      <c r="P2246" t="n">
        <v>0.00903</v>
      </c>
      <c r="Q2246" t="n">
        <v>70</v>
      </c>
      <c r="R2246" t="n">
        <v>0.1034</v>
      </c>
      <c r="S2246">
        <f>IMAGE("https://mitra.stanford.edu/kundaje/oak/projects/neuro-variants/variant_position/credible/roussos_2024/variant_figures/roussos_2024.childhood.Astrocyte/rs2103263_count_position.png",4,220,900)</f>
        <v/>
      </c>
      <c r="T2246">
        <f>IMAGE("https://mitra.stanford.edu/kundaje/oak/projects/neuro-variants/variant_position/credible/roussos_2024/variant_figures/roussos_2024.childhood.Astrocyte/rs2103263_profile_position.png",4,220,900)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0.0115516194</v>
      </c>
      <c r="G2247" t="n">
        <v>0.6844185066825836</v>
      </c>
      <c r="H2247" t="n">
        <v>0.0292798807069002</v>
      </c>
      <c r="I2247" t="n">
        <v>0.0326276040997382</v>
      </c>
      <c r="J2247" t="n">
        <v>0.1055849419523253</v>
      </c>
      <c r="K2247" t="n">
        <v>0.311454712688946</v>
      </c>
      <c r="L2247" t="b">
        <v>0</v>
      </c>
      <c r="M2247" t="b">
        <v>0</v>
      </c>
      <c r="N2247" t="inlineStr">
        <is>
          <t>alt</t>
        </is>
      </c>
      <c r="O2247" t="n">
        <v>45</v>
      </c>
      <c r="P2247" t="n">
        <v>0.02246</v>
      </c>
      <c r="Q2247" t="n">
        <v>50</v>
      </c>
      <c r="R2247" t="n">
        <v>0.2351</v>
      </c>
      <c r="S2247">
        <f>IMAGE("https://mitra.stanford.edu/kundaje/oak/projects/neuro-variants/variant_position/credible/roussos_2024/variant_figures/roussos_2024.childhood.Astrocyte/rs35377330_count_position.png",4,220,900)</f>
        <v/>
      </c>
      <c r="T2247">
        <f>IMAGE("https://mitra.stanford.edu/kundaje/oak/projects/neuro-variants/variant_position/credible/roussos_2024/variant_figures/roussos_2024.childhood.Astrocyte/rs35377330_profile_position.png",4,220,900)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0.00272478716</v>
      </c>
      <c r="G2248" t="n">
        <v>0.8624792911923542</v>
      </c>
      <c r="H2248" t="n">
        <v>0.0103444709035143</v>
      </c>
      <c r="I2248" t="n">
        <v>0.6729396454117554</v>
      </c>
      <c r="J2248" t="n">
        <v>0.0100806790165861</v>
      </c>
      <c r="K2248" t="n">
        <v>0.6923756647019963</v>
      </c>
      <c r="L2248" t="b">
        <v>0</v>
      </c>
      <c r="M2248" t="b">
        <v>0</v>
      </c>
      <c r="N2248" t="inlineStr">
        <is>
          <t>alt</t>
        </is>
      </c>
      <c r="O2248" t="n">
        <v>-85</v>
      </c>
      <c r="P2248" t="n">
        <v>0.007393</v>
      </c>
      <c r="Q2248" t="n">
        <v>25</v>
      </c>
      <c r="R2248" t="n">
        <v>0.0152</v>
      </c>
      <c r="S2248">
        <f>IMAGE("https://mitra.stanford.edu/kundaje/oak/projects/neuro-variants/variant_position/credible/roussos_2024/variant_figures/roussos_2024.childhood.Astrocyte/rs13026547_count_position.png",4,220,900)</f>
        <v/>
      </c>
      <c r="T2248">
        <f>IMAGE("https://mitra.stanford.edu/kundaje/oak/projects/neuro-variants/variant_position/credible/roussos_2024/variant_figures/roussos_2024.childhood.Astrocyte/rs13026547_profile_position.png",4,220,900)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-0.0901397348</v>
      </c>
      <c r="G2249" t="n">
        <v>0.0849266678392145</v>
      </c>
      <c r="H2249" t="n">
        <v>0.0136013914369941</v>
      </c>
      <c r="I2249" t="n">
        <v>0.3829163924955915</v>
      </c>
      <c r="J2249" t="n">
        <v>0.0236755131170188</v>
      </c>
      <c r="K2249" t="n">
        <v>0.5691384621543886</v>
      </c>
      <c r="L2249" t="b">
        <v>0</v>
      </c>
      <c r="M2249" t="b">
        <v>0</v>
      </c>
      <c r="N2249" t="inlineStr">
        <is>
          <t>ref</t>
        </is>
      </c>
      <c r="O2249" t="n">
        <v>-100</v>
      </c>
      <c r="P2249" t="n">
        <v>0.03192</v>
      </c>
      <c r="Q2249" t="n">
        <v>70</v>
      </c>
      <c r="R2249" t="n">
        <v>0.07166</v>
      </c>
      <c r="S2249">
        <f>IMAGE("https://mitra.stanford.edu/kundaje/oak/projects/neuro-variants/variant_position/credible/roussos_2024/variant_figures/roussos_2024.childhood.Astrocyte/rs7604885_count_position.png",4,220,900)</f>
        <v/>
      </c>
      <c r="T2249">
        <f>IMAGE("https://mitra.stanford.edu/kundaje/oak/projects/neuro-variants/variant_position/credible/roussos_2024/variant_figures/roussos_2024.childhood.Astrocyte/rs7604885_profile_position.png",4,220,900)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-0.08006029739999999</v>
      </c>
      <c r="G2250" t="n">
        <v>0.1116734218878136</v>
      </c>
      <c r="H2250" t="n">
        <v>0.0125947131579004</v>
      </c>
      <c r="I2250" t="n">
        <v>0.4578768853788029</v>
      </c>
      <c r="J2250" t="n">
        <v>0.0020776564157754</v>
      </c>
      <c r="K2250" t="n">
        <v>0.8751711574814703</v>
      </c>
      <c r="L2250" t="b">
        <v>0</v>
      </c>
      <c r="M2250" t="b">
        <v>0</v>
      </c>
      <c r="N2250" t="inlineStr">
        <is>
          <t>ref</t>
        </is>
      </c>
      <c r="O2250" t="n">
        <v>100</v>
      </c>
      <c r="P2250" t="n">
        <v>0.0891</v>
      </c>
      <c r="Q2250" t="n">
        <v>-100</v>
      </c>
      <c r="R2250" t="n">
        <v>0.126</v>
      </c>
      <c r="S2250">
        <f>IMAGE("https://mitra.stanford.edu/kundaje/oak/projects/neuro-variants/variant_position/credible/roussos_2024/variant_figures/roussos_2024.childhood.Astrocyte/rs13021985_count_position.png",4,220,900)</f>
        <v/>
      </c>
      <c r="T2250">
        <f>IMAGE("https://mitra.stanford.edu/kundaje/oak/projects/neuro-variants/variant_position/credible/roussos_2024/variant_figures/roussos_2024.childhood.Astrocyte/rs13021985_profile_position.png",4,220,900)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0.0202654358</v>
      </c>
      <c r="G2251" t="n">
        <v>0.5178931605995771</v>
      </c>
      <c r="H2251" t="n">
        <v>0.0325443152870672</v>
      </c>
      <c r="I2251" t="n">
        <v>0.021695547673518</v>
      </c>
      <c r="J2251" t="n">
        <v>0.031286208238877</v>
      </c>
      <c r="K2251" t="n">
        <v>0.5248049034716429</v>
      </c>
      <c r="L2251" t="b">
        <v>0</v>
      </c>
      <c r="M2251" t="b">
        <v>0</v>
      </c>
      <c r="N2251" t="inlineStr">
        <is>
          <t>alt</t>
        </is>
      </c>
      <c r="O2251" t="n">
        <v>90</v>
      </c>
      <c r="P2251" t="n">
        <v>0.01285</v>
      </c>
      <c r="Q2251" t="n">
        <v>90</v>
      </c>
      <c r="R2251" t="n">
        <v>0.0606</v>
      </c>
      <c r="S2251">
        <f>IMAGE("https://mitra.stanford.edu/kundaje/oak/projects/neuro-variants/variant_position/credible/roussos_2024/variant_figures/roussos_2024.childhood.Astrocyte/rs4295021_count_position.png",4,220,900)</f>
        <v/>
      </c>
      <c r="T2251">
        <f>IMAGE("https://mitra.stanford.edu/kundaje/oak/projects/neuro-variants/variant_position/credible/roussos_2024/variant_figures/roussos_2024.childhood.Astrocyte/rs4295021_profile_position.png",4,220,900)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0.00167021932</v>
      </c>
      <c r="G2252" t="n">
        <v>0.6495566368040132</v>
      </c>
      <c r="H2252" t="n">
        <v>0.0166723388941807</v>
      </c>
      <c r="I2252" t="n">
        <v>0.2205850551043356</v>
      </c>
      <c r="J2252" t="n">
        <v>0.0030073351499469</v>
      </c>
      <c r="K2252" t="n">
        <v>0.8293470985210389</v>
      </c>
      <c r="L2252" t="b">
        <v>0</v>
      </c>
      <c r="M2252" t="b">
        <v>0</v>
      </c>
      <c r="N2252" t="inlineStr">
        <is>
          <t>alt</t>
        </is>
      </c>
      <c r="O2252" t="n">
        <v>15</v>
      </c>
      <c r="P2252" t="n">
        <v>0.0009537</v>
      </c>
      <c r="Q2252" t="n">
        <v>-95</v>
      </c>
      <c r="R2252" t="n">
        <v>0.1311</v>
      </c>
      <c r="S2252">
        <f>IMAGE("https://mitra.stanford.edu/kundaje/oak/projects/neuro-variants/variant_position/credible/roussos_2024/variant_figures/roussos_2024.childhood.Astrocyte/rs2909455_count_position.png",4,220,900)</f>
        <v/>
      </c>
      <c r="T2252">
        <f>IMAGE("https://mitra.stanford.edu/kundaje/oak/projects/neuro-variants/variant_position/credible/roussos_2024/variant_figures/roussos_2024.childhood.Astrocyte/rs2909455_profile_position.png",4,220,900)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-0.02669979452</v>
      </c>
      <c r="G2253" t="n">
        <v>0.4381355090343845</v>
      </c>
      <c r="H2253" t="n">
        <v>0.0147750411893604</v>
      </c>
      <c r="I2253" t="n">
        <v>0.3267690962568324</v>
      </c>
      <c r="J2253" t="n">
        <v>0.0613878012105668</v>
      </c>
      <c r="K2253" t="n">
        <v>0.4248075128637914</v>
      </c>
      <c r="L2253" t="b">
        <v>0</v>
      </c>
      <c r="M2253" t="b">
        <v>0</v>
      </c>
      <c r="N2253" t="inlineStr">
        <is>
          <t>ref</t>
        </is>
      </c>
      <c r="O2253" t="n">
        <v>-50</v>
      </c>
      <c r="P2253" t="n">
        <v>0.00257</v>
      </c>
      <c r="Q2253" t="n">
        <v>-60</v>
      </c>
      <c r="R2253" t="n">
        <v>0.09130000000000001</v>
      </c>
      <c r="S2253">
        <f>IMAGE("https://mitra.stanford.edu/kundaje/oak/projects/neuro-variants/variant_position/credible/roussos_2024/variant_figures/roussos_2024.childhood.Astrocyte/rs975341_count_position.png",4,220,900)</f>
        <v/>
      </c>
      <c r="T2253">
        <f>IMAGE("https://mitra.stanford.edu/kundaje/oak/projects/neuro-variants/variant_position/credible/roussos_2024/variant_figures/roussos_2024.childhood.Astrocyte/rs975341_profile_position.png",4,220,900)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-0.0636165608</v>
      </c>
      <c r="G2254" t="n">
        <v>0.1558264669305903</v>
      </c>
      <c r="H2254" t="n">
        <v>0.0267871471507104</v>
      </c>
      <c r="I2254" t="n">
        <v>0.0479885434181009</v>
      </c>
      <c r="J2254" t="n">
        <v>0.0042049262286947</v>
      </c>
      <c r="K2254" t="n">
        <v>0.8179157712291696</v>
      </c>
      <c r="L2254" t="b">
        <v>0</v>
      </c>
      <c r="M2254" t="b">
        <v>0</v>
      </c>
      <c r="N2254" t="inlineStr">
        <is>
          <t>ref</t>
        </is>
      </c>
      <c r="O2254" t="n">
        <v>100</v>
      </c>
      <c r="P2254" t="n">
        <v>0.01984</v>
      </c>
      <c r="Q2254" t="n">
        <v>90</v>
      </c>
      <c r="R2254" t="n">
        <v>0.06900000000000001</v>
      </c>
      <c r="S2254">
        <f>IMAGE("https://mitra.stanford.edu/kundaje/oak/projects/neuro-variants/variant_position/credible/roussos_2024/variant_figures/roussos_2024.childhood.Astrocyte/rs6722396_count_position.png",4,220,900)</f>
        <v/>
      </c>
      <c r="T2254">
        <f>IMAGE("https://mitra.stanford.edu/kundaje/oak/projects/neuro-variants/variant_position/credible/roussos_2024/variant_figures/roussos_2024.childhood.Astrocyte/rs6722396_profile_position.png",4,220,900)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0.2053197759999999</v>
      </c>
      <c r="G2255" t="n">
        <v>0.0161838863698878</v>
      </c>
      <c r="H2255" t="n">
        <v>0.0214687583489312</v>
      </c>
      <c r="I2255" t="n">
        <v>0.1039978327507089</v>
      </c>
      <c r="J2255" t="n">
        <v>0.4350430873272117</v>
      </c>
      <c r="K2255" t="n">
        <v>0.0728294235354416</v>
      </c>
      <c r="L2255" t="b">
        <v>1</v>
      </c>
      <c r="M2255" t="b">
        <v>0</v>
      </c>
      <c r="N2255" t="inlineStr">
        <is>
          <t>alt</t>
        </is>
      </c>
      <c r="O2255" t="n">
        <v>-90</v>
      </c>
      <c r="P2255" t="n">
        <v>0.05124</v>
      </c>
      <c r="Q2255" t="n">
        <v>80</v>
      </c>
      <c r="R2255" t="n">
        <v>0.05908</v>
      </c>
      <c r="S2255">
        <f>IMAGE("https://mitra.stanford.edu/kundaje/oak/projects/neuro-variants/variant_position/credible/roussos_2024/variant_figures/roussos_2024.childhood.Astrocyte/rs10189241_count_position.png",4,220,900)</f>
        <v/>
      </c>
      <c r="T2255">
        <f>IMAGE("https://mitra.stanford.edu/kundaje/oak/projects/neuro-variants/variant_position/credible/roussos_2024/variant_figures/roussos_2024.childhood.Astrocyte/rs10189241_profile_position.png",4,220,900)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0.0222619334</v>
      </c>
      <c r="G2256" t="n">
        <v>0.4694651651627933</v>
      </c>
      <c r="H2256" t="n">
        <v>0.0165038557512451</v>
      </c>
      <c r="I2256" t="n">
        <v>0.2254603610819718</v>
      </c>
      <c r="J2256" t="n">
        <v>0.280278292993825</v>
      </c>
      <c r="K2256" t="n">
        <v>0.143132741987331</v>
      </c>
      <c r="L2256" t="b">
        <v>0</v>
      </c>
      <c r="M2256" t="b">
        <v>0</v>
      </c>
      <c r="N2256" t="inlineStr">
        <is>
          <t>alt</t>
        </is>
      </c>
      <c r="O2256" t="n">
        <v>50</v>
      </c>
      <c r="P2256" t="n">
        <v>0.02002</v>
      </c>
      <c r="Q2256" t="n">
        <v>50</v>
      </c>
      <c r="R2256" t="n">
        <v>0.255</v>
      </c>
      <c r="S2256">
        <f>IMAGE("https://mitra.stanford.edu/kundaje/oak/projects/neuro-variants/variant_position/credible/roussos_2024/variant_figures/roussos_2024.childhood.Astrocyte/rs7564698_count_position.png",4,220,900)</f>
        <v/>
      </c>
      <c r="T2256">
        <f>IMAGE("https://mitra.stanford.edu/kundaje/oak/projects/neuro-variants/variant_position/credible/roussos_2024/variant_figures/roussos_2024.childhood.Astrocyte/rs7564698_profile_position.png",4,220,900)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0.2963898100000001</v>
      </c>
      <c r="G2257" t="n">
        <v>0.005550122049334</v>
      </c>
      <c r="H2257" t="n">
        <v>0.0264827278121866</v>
      </c>
      <c r="I2257" t="n">
        <v>0.0483597718541364</v>
      </c>
      <c r="J2257" t="n">
        <v>0.4201147977681603</v>
      </c>
      <c r="K2257" t="n">
        <v>0.0801316247054033</v>
      </c>
      <c r="L2257" t="b">
        <v>1</v>
      </c>
      <c r="M2257" t="b">
        <v>1</v>
      </c>
      <c r="N2257" t="inlineStr">
        <is>
          <t>alt</t>
        </is>
      </c>
      <c r="O2257" t="n">
        <v>-10</v>
      </c>
      <c r="P2257" t="n">
        <v>0.006287</v>
      </c>
      <c r="Q2257" t="n">
        <v>-10</v>
      </c>
      <c r="R2257" t="n">
        <v>0.0654</v>
      </c>
      <c r="S2257">
        <f>IMAGE("https://mitra.stanford.edu/kundaje/oak/projects/neuro-variants/variant_position/credible/roussos_2024/variant_figures/roussos_2024.childhood.Astrocyte/rs4668081_count_position.png",4,220,900)</f>
        <v/>
      </c>
      <c r="T2257">
        <f>IMAGE("https://mitra.stanford.edu/kundaje/oak/projects/neuro-variants/variant_position/credible/roussos_2024/variant_figures/roussos_2024.childhood.Astrocyte/rs4668081_profile_position.png",4,220,900)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-0.0213573828</v>
      </c>
      <c r="G2258" t="n">
        <v>0.4158104960258154</v>
      </c>
      <c r="H2258" t="n">
        <v>0.0115702048787774</v>
      </c>
      <c r="I2258" t="n">
        <v>0.5582492587004314</v>
      </c>
      <c r="J2258" t="n">
        <v>0.0044384908367871</v>
      </c>
      <c r="K2258" t="n">
        <v>0.7940686109077414</v>
      </c>
      <c r="L2258" t="b">
        <v>0</v>
      </c>
      <c r="M2258" t="b">
        <v>0</v>
      </c>
      <c r="N2258" t="inlineStr">
        <is>
          <t>ref</t>
        </is>
      </c>
      <c r="O2258" t="n">
        <v>-100</v>
      </c>
      <c r="P2258" t="n">
        <v>0.008736000000000001</v>
      </c>
      <c r="Q2258" t="n">
        <v>20</v>
      </c>
      <c r="R2258" t="n">
        <v>0.02478</v>
      </c>
      <c r="S2258">
        <f>IMAGE("https://mitra.stanford.edu/kundaje/oak/projects/neuro-variants/variant_position/credible/roussos_2024/variant_figures/roussos_2024.childhood.Astrocyte/rs4277491_count_position.png",4,220,900)</f>
        <v/>
      </c>
      <c r="T2258">
        <f>IMAGE("https://mitra.stanford.edu/kundaje/oak/projects/neuro-variants/variant_position/credible/roussos_2024/variant_figures/roussos_2024.childhood.Astrocyte/rs4277491_profile_position.png",4,220,900)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0.1083192726</v>
      </c>
      <c r="G2259" t="n">
        <v>0.0624637318809783</v>
      </c>
      <c r="H2259" t="n">
        <v>0.0275681868656545</v>
      </c>
      <c r="I2259" t="n">
        <v>0.0425299629550594</v>
      </c>
      <c r="J2259" t="n">
        <v>0.0045354277819757</v>
      </c>
      <c r="K2259" t="n">
        <v>0.791057265632492</v>
      </c>
      <c r="L2259" t="b">
        <v>0</v>
      </c>
      <c r="M2259" t="b">
        <v>0</v>
      </c>
      <c r="N2259" t="inlineStr">
        <is>
          <t>alt</t>
        </is>
      </c>
      <c r="O2259" t="n">
        <v>-100</v>
      </c>
      <c r="P2259" t="n">
        <v>0.01978</v>
      </c>
      <c r="Q2259" t="n">
        <v>0</v>
      </c>
      <c r="R2259" t="n">
        <v>0</v>
      </c>
      <c r="S2259">
        <f>IMAGE("https://mitra.stanford.edu/kundaje/oak/projects/neuro-variants/variant_position/credible/roussos_2024/variant_figures/roussos_2024.childhood.Astrocyte/rs75696288_count_position.png",4,220,900)</f>
        <v/>
      </c>
      <c r="T2259">
        <f>IMAGE("https://mitra.stanford.edu/kundaje/oak/projects/neuro-variants/variant_position/credible/roussos_2024/variant_figures/roussos_2024.childhood.Astrocyte/rs75696288_profile_position.png",4,220,900)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-0.0019147081999999</v>
      </c>
      <c r="G2260" t="n">
        <v>0.3933365992833444</v>
      </c>
      <c r="H2260" t="n">
        <v>0.0150154820959206</v>
      </c>
      <c r="I2260" t="n">
        <v>0.3216702299397515</v>
      </c>
      <c r="J2260" t="n">
        <v>0.0716150305694854</v>
      </c>
      <c r="K2260" t="n">
        <v>0.39227844014811</v>
      </c>
      <c r="L2260" t="b">
        <v>0</v>
      </c>
      <c r="M2260" t="b">
        <v>0</v>
      </c>
      <c r="N2260" t="inlineStr">
        <is>
          <t>ref</t>
        </is>
      </c>
      <c r="O2260" t="n">
        <v>-50</v>
      </c>
      <c r="P2260" t="n">
        <v>0.001816</v>
      </c>
      <c r="Q2260" t="n">
        <v>-50</v>
      </c>
      <c r="R2260" t="n">
        <v>0.03357</v>
      </c>
      <c r="S2260">
        <f>IMAGE("https://mitra.stanford.edu/kundaje/oak/projects/neuro-variants/variant_position/credible/roussos_2024/variant_figures/roussos_2024.childhood.Astrocyte/rs1008151_count_position.png",4,220,900)</f>
        <v/>
      </c>
      <c r="T2260">
        <f>IMAGE("https://mitra.stanford.edu/kundaje/oak/projects/neuro-variants/variant_position/credible/roussos_2024/variant_figures/roussos_2024.childhood.Astrocyte/rs1008151_profile_position.png",4,220,900)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0.0165862733999999</v>
      </c>
      <c r="G2261" t="n">
        <v>0.5804879964204384</v>
      </c>
      <c r="H2261" t="n">
        <v>0.0299103517969156</v>
      </c>
      <c r="I2261" t="n">
        <v>0.0305529365248432</v>
      </c>
      <c r="J2261" t="n">
        <v>0.4420828467403997</v>
      </c>
      <c r="K2261" t="n">
        <v>0.0727069554934185</v>
      </c>
      <c r="L2261" t="b">
        <v>0</v>
      </c>
      <c r="M2261" t="b">
        <v>0</v>
      </c>
      <c r="N2261" t="inlineStr">
        <is>
          <t>alt</t>
        </is>
      </c>
      <c r="O2261" t="n">
        <v>-25</v>
      </c>
      <c r="P2261" t="n">
        <v>0.003296</v>
      </c>
      <c r="Q2261" t="n">
        <v>40</v>
      </c>
      <c r="R2261" t="n">
        <v>0.0476</v>
      </c>
      <c r="S2261">
        <f>IMAGE("https://mitra.stanford.edu/kundaje/oak/projects/neuro-variants/variant_position/credible/roussos_2024/variant_figures/roussos_2024.childhood.Astrocyte/rs1001780_count_position.png",4,220,900)</f>
        <v/>
      </c>
      <c r="T2261">
        <f>IMAGE("https://mitra.stanford.edu/kundaje/oak/projects/neuro-variants/variant_position/credible/roussos_2024/variant_figures/roussos_2024.childhood.Astrocyte/rs1001780_profile_position.png",4,220,900)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-0.405625546</v>
      </c>
      <c r="G2262" t="n">
        <v>0.0022966029248902</v>
      </c>
      <c r="H2262" t="n">
        <v>0.0461223667185438</v>
      </c>
      <c r="I2262" t="n">
        <v>0.0054700267614223</v>
      </c>
      <c r="J2262" t="n">
        <v>0.5474571225756224</v>
      </c>
      <c r="K2262" t="n">
        <v>0.0444872584299018</v>
      </c>
      <c r="L2262" t="b">
        <v>1</v>
      </c>
      <c r="M2262" t="b">
        <v>1</v>
      </c>
      <c r="N2262" t="inlineStr">
        <is>
          <t>ref</t>
        </is>
      </c>
      <c r="O2262" t="n">
        <v>25</v>
      </c>
      <c r="P2262" t="n">
        <v>0.000725</v>
      </c>
      <c r="Q2262" t="n">
        <v>50</v>
      </c>
      <c r="R2262" t="n">
        <v>0.05225</v>
      </c>
      <c r="S2262">
        <f>IMAGE("https://mitra.stanford.edu/kundaje/oak/projects/neuro-variants/variant_position/credible/roussos_2024/variant_figures/roussos_2024.childhood.Astrocyte/rs62184960_count_position.png",4,220,900)</f>
        <v/>
      </c>
      <c r="T2262">
        <f>IMAGE("https://mitra.stanford.edu/kundaje/oak/projects/neuro-variants/variant_position/credible/roussos_2024/variant_figures/roussos_2024.childhood.Astrocyte/rs62184960_profile_position.png",4,220,900)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0.00059559268</v>
      </c>
      <c r="G2263" t="n">
        <v>0.7606804633831985</v>
      </c>
      <c r="H2263" t="n">
        <v>0.0123424744266168</v>
      </c>
      <c r="I2263" t="n">
        <v>0.4815679107408749</v>
      </c>
      <c r="J2263" t="n">
        <v>0.0017051742956805</v>
      </c>
      <c r="K2263" t="n">
        <v>0.8858464946480118</v>
      </c>
      <c r="L2263" t="b">
        <v>0</v>
      </c>
      <c r="M2263" t="b">
        <v>0</v>
      </c>
      <c r="N2263" t="inlineStr">
        <is>
          <t>alt</t>
        </is>
      </c>
      <c r="O2263" t="n">
        <v>100</v>
      </c>
      <c r="P2263" t="n">
        <v>0.01277</v>
      </c>
      <c r="Q2263" t="n">
        <v>55</v>
      </c>
      <c r="R2263" t="n">
        <v>0.145</v>
      </c>
      <c r="S2263">
        <f>IMAGE("https://mitra.stanford.edu/kundaje/oak/projects/neuro-variants/variant_position/credible/roussos_2024/variant_figures/roussos_2024.childhood.Astrocyte/rs145078188_count_position.png",4,220,900)</f>
        <v/>
      </c>
      <c r="T2263">
        <f>IMAGE("https://mitra.stanford.edu/kundaje/oak/projects/neuro-variants/variant_position/credible/roussos_2024/variant_figures/roussos_2024.childhood.Astrocyte/rs145078188_profile_position.png",4,220,900)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0.00616094858</v>
      </c>
      <c r="G2264" t="n">
        <v>0.7431554149588613</v>
      </c>
      <c r="H2264" t="n">
        <v>0.0086479041464869</v>
      </c>
      <c r="I2264" t="n">
        <v>0.8431392958733785</v>
      </c>
      <c r="J2264" t="n">
        <v>0.00110599711479</v>
      </c>
      <c r="K2264" t="n">
        <v>0.9024985787659056</v>
      </c>
      <c r="L2264" t="b">
        <v>0</v>
      </c>
      <c r="M2264" t="b">
        <v>0</v>
      </c>
      <c r="N2264" t="inlineStr">
        <is>
          <t>alt</t>
        </is>
      </c>
      <c r="O2264" t="n">
        <v>10</v>
      </c>
      <c r="P2264" t="n">
        <v>0.002163</v>
      </c>
      <c r="Q2264" t="n">
        <v>100</v>
      </c>
      <c r="R2264" t="n">
        <v>0.0864</v>
      </c>
      <c r="S2264">
        <f>IMAGE("https://mitra.stanford.edu/kundaje/oak/projects/neuro-variants/variant_position/credible/roussos_2024/variant_figures/roussos_2024.childhood.Astrocyte/rs11675794_count_position.png",4,220,900)</f>
        <v/>
      </c>
      <c r="T2264">
        <f>IMAGE("https://mitra.stanford.edu/kundaje/oak/projects/neuro-variants/variant_position/credible/roussos_2024/variant_figures/roussos_2024.childhood.Astrocyte/rs11675794_profile_position.png",4,220,900)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-0.0176722838</v>
      </c>
      <c r="G2265" t="n">
        <v>0.5795099545921176</v>
      </c>
      <c r="H2265" t="n">
        <v>0.0287241751127759</v>
      </c>
      <c r="I2265" t="n">
        <v>0.0359620701448995</v>
      </c>
      <c r="J2265" t="n">
        <v>0.0112286566981901</v>
      </c>
      <c r="K2265" t="n">
        <v>0.6834368927793377</v>
      </c>
      <c r="L2265" t="b">
        <v>0</v>
      </c>
      <c r="M2265" t="b">
        <v>0</v>
      </c>
      <c r="N2265" t="inlineStr">
        <is>
          <t>ref</t>
        </is>
      </c>
      <c r="O2265" t="n">
        <v>10</v>
      </c>
      <c r="P2265" t="n">
        <v>0.001595</v>
      </c>
      <c r="Q2265" t="n">
        <v>15</v>
      </c>
      <c r="R2265" t="n">
        <v>0.0442</v>
      </c>
      <c r="S2265">
        <f>IMAGE("https://mitra.stanford.edu/kundaje/oak/projects/neuro-variants/variant_position/credible/roussos_2024/variant_figures/roussos_2024.childhood.Astrocyte/rs728534_count_position.png",4,220,900)</f>
        <v/>
      </c>
      <c r="T2265">
        <f>IMAGE("https://mitra.stanford.edu/kundaje/oak/projects/neuro-variants/variant_position/credible/roussos_2024/variant_figures/roussos_2024.childhood.Astrocyte/rs728534_profile_position.png",4,220,900)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-0.00685657078</v>
      </c>
      <c r="G2266" t="n">
        <v>0.7472907383511866</v>
      </c>
      <c r="H2266" t="n">
        <v>0.0305003606543597</v>
      </c>
      <c r="I2266" t="n">
        <v>0.0286345943990359</v>
      </c>
      <c r="J2266" t="n">
        <v>0.0075496324792195</v>
      </c>
      <c r="K2266" t="n">
        <v>0.7226037264769047</v>
      </c>
      <c r="L2266" t="b">
        <v>0</v>
      </c>
      <c r="M2266" t="b">
        <v>0</v>
      </c>
      <c r="N2266" t="inlineStr">
        <is>
          <t>ref</t>
        </is>
      </c>
      <c r="O2266" t="n">
        <v>-50</v>
      </c>
      <c r="P2266" t="n">
        <v>0.01225</v>
      </c>
      <c r="Q2266" t="n">
        <v>-90</v>
      </c>
      <c r="R2266" t="n">
        <v>0.1509</v>
      </c>
      <c r="S2266">
        <f>IMAGE("https://mitra.stanford.edu/kundaje/oak/projects/neuro-variants/variant_position/credible/roussos_2024/variant_figures/roussos_2024.childhood.Astrocyte/rs1445542_count_position.png",4,220,900)</f>
        <v/>
      </c>
      <c r="T2266">
        <f>IMAGE("https://mitra.stanford.edu/kundaje/oak/projects/neuro-variants/variant_position/credible/roussos_2024/variant_figures/roussos_2024.childhood.Astrocyte/rs1445542_profile_position.png",4,220,900)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-0.00648164798</v>
      </c>
      <c r="G2267" t="n">
        <v>0.815594018805549</v>
      </c>
      <c r="H2267" t="n">
        <v>0.0301597322202129</v>
      </c>
      <c r="I2267" t="n">
        <v>0.0294769821245605</v>
      </c>
      <c r="J2267" t="n">
        <v>0.0004365978948653</v>
      </c>
      <c r="K2267" t="n">
        <v>0.950838716201036</v>
      </c>
      <c r="L2267" t="b">
        <v>0</v>
      </c>
      <c r="M2267" t="b">
        <v>0</v>
      </c>
      <c r="N2267" t="inlineStr">
        <is>
          <t>ref</t>
        </is>
      </c>
      <c r="O2267" t="n">
        <v>100</v>
      </c>
      <c r="P2267" t="n">
        <v>0.01917</v>
      </c>
      <c r="Q2267" t="n">
        <v>100</v>
      </c>
      <c r="R2267" t="n">
        <v>0.1206</v>
      </c>
      <c r="S2267">
        <f>IMAGE("https://mitra.stanford.edu/kundaje/oak/projects/neuro-variants/variant_position/credible/roussos_2024/variant_figures/roussos_2024.childhood.Astrocyte/rs11680198_count_position.png",4,220,900)</f>
        <v/>
      </c>
      <c r="T2267">
        <f>IMAGE("https://mitra.stanford.edu/kundaje/oak/projects/neuro-variants/variant_position/credible/roussos_2024/variant_figures/roussos_2024.childhood.Astrocyte/rs11680198_profile_position.png",4,220,900)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0.0277324477999999</v>
      </c>
      <c r="G2268" t="n">
        <v>0.397881745027138</v>
      </c>
      <c r="H2268" t="n">
        <v>0.0234930821712251</v>
      </c>
      <c r="I2268" t="n">
        <v>0.07303769448690541</v>
      </c>
      <c r="J2268" t="n">
        <v>0.001520459801699</v>
      </c>
      <c r="K2268" t="n">
        <v>0.8871306748185195</v>
      </c>
      <c r="L2268" t="b">
        <v>0</v>
      </c>
      <c r="M2268" t="b">
        <v>0</v>
      </c>
      <c r="N2268" t="inlineStr">
        <is>
          <t>alt</t>
        </is>
      </c>
      <c r="O2268" t="n">
        <v>100</v>
      </c>
      <c r="P2268" t="n">
        <v>0.0455</v>
      </c>
      <c r="Q2268" t="n">
        <v>100</v>
      </c>
      <c r="R2268" t="n">
        <v>0.0553</v>
      </c>
      <c r="S2268">
        <f>IMAGE("https://mitra.stanford.edu/kundaje/oak/projects/neuro-variants/variant_position/credible/roussos_2024/variant_figures/roussos_2024.childhood.Astrocyte/rs968109_count_position.png",4,220,900)</f>
        <v/>
      </c>
      <c r="T2268">
        <f>IMAGE("https://mitra.stanford.edu/kundaje/oak/projects/neuro-variants/variant_position/credible/roussos_2024/variant_figures/roussos_2024.childhood.Astrocyte/rs968109_profile_position.png",4,220,900)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-0.0300136304</v>
      </c>
      <c r="G2269" t="n">
        <v>0.3867514578581855</v>
      </c>
      <c r="H2269" t="n">
        <v>0.0145110792144474</v>
      </c>
      <c r="I2269" t="n">
        <v>0.3264631690645376</v>
      </c>
      <c r="J2269" t="n">
        <v>9.846351125460028e-05</v>
      </c>
      <c r="K2269" t="n">
        <v>0.9876793255862036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0.02011</v>
      </c>
      <c r="Q2269" t="n">
        <v>10</v>
      </c>
      <c r="R2269" t="n">
        <v>0.02368</v>
      </c>
      <c r="S2269">
        <f>IMAGE("https://mitra.stanford.edu/kundaje/oak/projects/neuro-variants/variant_position/credible/roussos_2024/variant_figures/roussos_2024.childhood.Astrocyte/rs4471907_count_position.png",4,220,900)</f>
        <v/>
      </c>
      <c r="T2269">
        <f>IMAGE("https://mitra.stanford.edu/kundaje/oak/projects/neuro-variants/variant_position/credible/roussos_2024/variant_figures/roussos_2024.childhood.Astrocyte/rs4471907_profile_position.png",4,220,900)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0.006631687</v>
      </c>
      <c r="G2270" t="n">
        <v>0.4192449190662852</v>
      </c>
      <c r="H2270" t="n">
        <v>0.0259262602530786</v>
      </c>
      <c r="I2270" t="n">
        <v>0.0522440356032301</v>
      </c>
      <c r="J2270" t="n">
        <v>0.0170921969575537</v>
      </c>
      <c r="K2270" t="n">
        <v>0.6340235351073094</v>
      </c>
      <c r="L2270" t="b">
        <v>0</v>
      </c>
      <c r="M2270" t="b">
        <v>0</v>
      </c>
      <c r="N2270" t="inlineStr">
        <is>
          <t>alt</t>
        </is>
      </c>
      <c r="O2270" t="n">
        <v>-35</v>
      </c>
      <c r="P2270" t="n">
        <v>0.00654</v>
      </c>
      <c r="Q2270" t="n">
        <v>-10</v>
      </c>
      <c r="R2270" t="n">
        <v>0.004395</v>
      </c>
      <c r="S2270">
        <f>IMAGE("https://mitra.stanford.edu/kundaje/oak/projects/neuro-variants/variant_position/credible/roussos_2024/variant_figures/roussos_2024.childhood.Astrocyte/rs10175759_count_position.png",4,220,900)</f>
        <v/>
      </c>
      <c r="T2270">
        <f>IMAGE("https://mitra.stanford.edu/kundaje/oak/projects/neuro-variants/variant_position/credible/roussos_2024/variant_figures/roussos_2024.childhood.Astrocyte/rs10175759_profile_position.png",4,220,900)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-0.005217999238</v>
      </c>
      <c r="G2271" t="n">
        <v>0.8073382817609756</v>
      </c>
      <c r="H2271" t="n">
        <v>0.0239152334000504</v>
      </c>
      <c r="I2271" t="n">
        <v>0.0686287600796765</v>
      </c>
      <c r="J2271" t="n">
        <v>0.0056666132368542</v>
      </c>
      <c r="K2271" t="n">
        <v>0.7841083574299147</v>
      </c>
      <c r="L2271" t="b">
        <v>0</v>
      </c>
      <c r="M2271" t="b">
        <v>0</v>
      </c>
      <c r="N2271" t="inlineStr">
        <is>
          <t>ref</t>
        </is>
      </c>
      <c r="O2271" t="n">
        <v>-70</v>
      </c>
      <c r="P2271" t="n">
        <v>0.00682</v>
      </c>
      <c r="Q2271" t="n">
        <v>-45</v>
      </c>
      <c r="R2271" t="n">
        <v>0.175</v>
      </c>
      <c r="S2271">
        <f>IMAGE("https://mitra.stanford.edu/kundaje/oak/projects/neuro-variants/variant_position/credible/roussos_2024/variant_figures/roussos_2024.childhood.Astrocyte/rs6712343_count_position.png",4,220,900)</f>
        <v/>
      </c>
      <c r="T2271">
        <f>IMAGE("https://mitra.stanford.edu/kundaje/oak/projects/neuro-variants/variant_position/credible/roussos_2024/variant_figures/roussos_2024.childhood.Astrocyte/rs6712343_profile_position.png",4,220,900)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0.001281858128</v>
      </c>
      <c r="G2272" t="n">
        <v>0.7996607445263411</v>
      </c>
      <c r="H2272" t="n">
        <v>0.0149911321042563</v>
      </c>
      <c r="I2272" t="n">
        <v>0.3001440226242612</v>
      </c>
      <c r="J2272" t="n">
        <v>0.0001236518513429</v>
      </c>
      <c r="K2272" t="n">
        <v>0.9855597116234877</v>
      </c>
      <c r="L2272" t="b">
        <v>0</v>
      </c>
      <c r="M2272" t="b">
        <v>0</v>
      </c>
      <c r="N2272" t="inlineStr">
        <is>
          <t>alt</t>
        </is>
      </c>
      <c r="O2272" t="n">
        <v>0</v>
      </c>
      <c r="P2272" t="n">
        <v>0</v>
      </c>
      <c r="Q2272" t="n">
        <v>0</v>
      </c>
      <c r="R2272" t="n">
        <v>0</v>
      </c>
      <c r="S2272">
        <f>IMAGE("https://mitra.stanford.edu/kundaje/oak/projects/neuro-variants/variant_position/credible/roussos_2024/variant_figures/roussos_2024.childhood.Astrocyte/rs6714301_count_position.png",4,220,900)</f>
        <v/>
      </c>
      <c r="T2272">
        <f>IMAGE("https://mitra.stanford.edu/kundaje/oak/projects/neuro-variants/variant_position/credible/roussos_2024/variant_figures/roussos_2024.childhood.Astrocyte/rs6714301_profile_position.png",4,220,900)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0.01414657648</v>
      </c>
      <c r="G2273" t="n">
        <v>0.6222771784187588</v>
      </c>
      <c r="H2273" t="n">
        <v>0.0216297780089494</v>
      </c>
      <c r="I2273" t="n">
        <v>0.09662078075907909</v>
      </c>
      <c r="J2273" t="n">
        <v>0.0023646508361765</v>
      </c>
      <c r="K2273" t="n">
        <v>0.8594715623960549</v>
      </c>
      <c r="L2273" t="b">
        <v>0</v>
      </c>
      <c r="M2273" t="b">
        <v>0</v>
      </c>
      <c r="N2273" t="inlineStr">
        <is>
          <t>alt</t>
        </is>
      </c>
      <c r="O2273" t="n">
        <v>-80</v>
      </c>
      <c r="P2273" t="n">
        <v>0.02</v>
      </c>
      <c r="Q2273" t="n">
        <v>90</v>
      </c>
      <c r="R2273" t="n">
        <v>0.06665</v>
      </c>
      <c r="S2273">
        <f>IMAGE("https://mitra.stanford.edu/kundaje/oak/projects/neuro-variants/variant_position/credible/roussos_2024/variant_figures/roussos_2024.childhood.Astrocyte/rs7557329_count_position.png",4,220,900)</f>
        <v/>
      </c>
      <c r="T2273">
        <f>IMAGE("https://mitra.stanford.edu/kundaje/oak/projects/neuro-variants/variant_position/credible/roussos_2024/variant_figures/roussos_2024.childhood.Astrocyte/rs7557329_profile_position.png",4,220,900)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-0.00478638784</v>
      </c>
      <c r="G2274" t="n">
        <v>0.8128892766881184</v>
      </c>
      <c r="H2274" t="n">
        <v>0.0258972985663002</v>
      </c>
      <c r="I2274" t="n">
        <v>0.0522884261854068</v>
      </c>
      <c r="J2274" t="n">
        <v>0.0010922580201964</v>
      </c>
      <c r="K2274" t="n">
        <v>0.9163321729314576</v>
      </c>
      <c r="L2274" t="b">
        <v>0</v>
      </c>
      <c r="M2274" t="b">
        <v>0</v>
      </c>
      <c r="N2274" t="inlineStr">
        <is>
          <t>ref</t>
        </is>
      </c>
      <c r="O2274" t="n">
        <v>-95</v>
      </c>
      <c r="P2274" t="n">
        <v>0.00923</v>
      </c>
      <c r="Q2274" t="n">
        <v>100</v>
      </c>
      <c r="R2274" t="n">
        <v>0.03894</v>
      </c>
      <c r="S2274">
        <f>IMAGE("https://mitra.stanford.edu/kundaje/oak/projects/neuro-variants/variant_position/credible/roussos_2024/variant_figures/roussos_2024.childhood.Astrocyte/rs1902746_count_position.png",4,220,900)</f>
        <v/>
      </c>
      <c r="T2274">
        <f>IMAGE("https://mitra.stanford.edu/kundaje/oak/projects/neuro-variants/variant_position/credible/roussos_2024/variant_figures/roussos_2024.childhood.Astrocyte/rs1902746_profile_position.png",4,220,900)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0.01012708038</v>
      </c>
      <c r="G2275" t="n">
        <v>0.683049495299623</v>
      </c>
      <c r="H2275" t="n">
        <v>0.0345466396887254</v>
      </c>
      <c r="I2275" t="n">
        <v>0.0170390246809827</v>
      </c>
      <c r="J2275" t="n">
        <v>0.0008564035630051001</v>
      </c>
      <c r="K2275" t="n">
        <v>0.9160528711632904</v>
      </c>
      <c r="L2275" t="b">
        <v>0</v>
      </c>
      <c r="M2275" t="b">
        <v>0</v>
      </c>
      <c r="N2275" t="inlineStr">
        <is>
          <t>alt</t>
        </is>
      </c>
      <c r="O2275" t="n">
        <v>-75</v>
      </c>
      <c r="P2275" t="n">
        <v>0.01132</v>
      </c>
      <c r="Q2275" t="n">
        <v>100</v>
      </c>
      <c r="R2275" t="n">
        <v>0.0718</v>
      </c>
      <c r="S2275">
        <f>IMAGE("https://mitra.stanford.edu/kundaje/oak/projects/neuro-variants/variant_position/credible/roussos_2024/variant_figures/roussos_2024.childhood.Astrocyte/rs1037708_count_position.png",4,220,900)</f>
        <v/>
      </c>
      <c r="T2275">
        <f>IMAGE("https://mitra.stanford.edu/kundaje/oak/projects/neuro-variants/variant_position/credible/roussos_2024/variant_figures/roussos_2024.childhood.Astrocyte/rs1037708_profile_position.png",4,220,900)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0.01226579066</v>
      </c>
      <c r="G2276" t="n">
        <v>0.6629063014069791</v>
      </c>
      <c r="H2276" t="n">
        <v>0.052801401067935</v>
      </c>
      <c r="I2276" t="n">
        <v>0.0033151295537664</v>
      </c>
      <c r="J2276" t="n">
        <v>0.000409119705678</v>
      </c>
      <c r="K2276" t="n">
        <v>0.9522746787006704</v>
      </c>
      <c r="L2276" t="b">
        <v>0</v>
      </c>
      <c r="M2276" t="b">
        <v>0</v>
      </c>
      <c r="N2276" t="inlineStr">
        <is>
          <t>alt</t>
        </is>
      </c>
      <c r="O2276" t="n">
        <v>35</v>
      </c>
      <c r="P2276" t="n">
        <v>0.01492</v>
      </c>
      <c r="Q2276" t="n">
        <v>90</v>
      </c>
      <c r="R2276" t="n">
        <v>0.0684</v>
      </c>
      <c r="S2276">
        <f>IMAGE("https://mitra.stanford.edu/kundaje/oak/projects/neuro-variants/variant_position/credible/roussos_2024/variant_figures/roussos_2024.childhood.Astrocyte/rs12617537_count_position.png",4,220,900)</f>
        <v/>
      </c>
      <c r="T2276">
        <f>IMAGE("https://mitra.stanford.edu/kundaje/oak/projects/neuro-variants/variant_position/credible/roussos_2024/variant_figures/roussos_2024.childhood.Astrocyte/rs12617537_profile_position.png",4,220,900)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0.0053112746</v>
      </c>
      <c r="G2277" t="n">
        <v>0.3517528940170966</v>
      </c>
      <c r="H2277" t="n">
        <v>0.0294724431766847</v>
      </c>
      <c r="I2277" t="n">
        <v>0.0329501675834222</v>
      </c>
      <c r="J2277" t="n">
        <v>0.008871638692343401</v>
      </c>
      <c r="K2277" t="n">
        <v>0.7173722117667704</v>
      </c>
      <c r="L2277" t="b">
        <v>0</v>
      </c>
      <c r="M2277" t="b">
        <v>0</v>
      </c>
      <c r="N2277" t="inlineStr">
        <is>
          <t>alt</t>
        </is>
      </c>
      <c r="O2277" t="n">
        <v>-65</v>
      </c>
      <c r="P2277" t="n">
        <v>0.005592</v>
      </c>
      <c r="Q2277" t="n">
        <v>-100</v>
      </c>
      <c r="R2277" t="n">
        <v>0.1958</v>
      </c>
      <c r="S2277">
        <f>IMAGE("https://mitra.stanford.edu/kundaje/oak/projects/neuro-variants/variant_position/credible/roussos_2024/variant_figures/roussos_2024.childhood.Astrocyte/rs62279220_count_position.png",4,220,900)</f>
        <v/>
      </c>
      <c r="T2277">
        <f>IMAGE("https://mitra.stanford.edu/kundaje/oak/projects/neuro-variants/variant_position/credible/roussos_2024/variant_figures/roussos_2024.childhood.Astrocyte/rs62279220_profile_position.png",4,220,900)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-0.0028328296999999</v>
      </c>
      <c r="G2278" t="n">
        <v>0.5283579840101872</v>
      </c>
      <c r="H2278" t="n">
        <v>0.0135900865338212</v>
      </c>
      <c r="I2278" t="n">
        <v>0.3885342491548069</v>
      </c>
      <c r="J2278" t="n">
        <v>0.051909352507003</v>
      </c>
      <c r="K2278" t="n">
        <v>0.445914771009433</v>
      </c>
      <c r="L2278" t="b">
        <v>0</v>
      </c>
      <c r="M2278" t="b">
        <v>0</v>
      </c>
      <c r="N2278" t="inlineStr">
        <is>
          <t>ref</t>
        </is>
      </c>
      <c r="O2278" t="n">
        <v>75</v>
      </c>
      <c r="P2278" t="n">
        <v>0.001099</v>
      </c>
      <c r="Q2278" t="n">
        <v>100</v>
      </c>
      <c r="R2278" t="n">
        <v>0.09503</v>
      </c>
      <c r="S2278">
        <f>IMAGE("https://mitra.stanford.edu/kundaje/oak/projects/neuro-variants/variant_position/credible/roussos_2024/variant_figures/roussos_2024.childhood.Astrocyte/rs10191006_count_position.png",4,220,900)</f>
        <v/>
      </c>
      <c r="T2278">
        <f>IMAGE("https://mitra.stanford.edu/kundaje/oak/projects/neuro-variants/variant_position/credible/roussos_2024/variant_figures/roussos_2024.childhood.Astrocyte/rs10191006_profile_position.png",4,220,900)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0.00781427572</v>
      </c>
      <c r="G2279" t="n">
        <v>0.7595816346123733</v>
      </c>
      <c r="H2279" t="n">
        <v>0.0204414725451394</v>
      </c>
      <c r="I2279" t="n">
        <v>0.1169357402200236</v>
      </c>
      <c r="J2279" t="n">
        <v>0.0028157511086685</v>
      </c>
      <c r="K2279" t="n">
        <v>0.8287606102651102</v>
      </c>
      <c r="L2279" t="b">
        <v>0</v>
      </c>
      <c r="M2279" t="b">
        <v>0</v>
      </c>
      <c r="N2279" t="inlineStr">
        <is>
          <t>alt</t>
        </is>
      </c>
      <c r="O2279" t="n">
        <v>45</v>
      </c>
      <c r="P2279" t="n">
        <v>0.01807</v>
      </c>
      <c r="Q2279" t="n">
        <v>-50</v>
      </c>
      <c r="R2279" t="n">
        <v>0.02295</v>
      </c>
      <c r="S2279">
        <f>IMAGE("https://mitra.stanford.edu/kundaje/oak/projects/neuro-variants/variant_position/credible/roussos_2024/variant_figures/roussos_2024.childhood.Astrocyte/rs2697260_count_position.png",4,220,900)</f>
        <v/>
      </c>
      <c r="T2279">
        <f>IMAGE("https://mitra.stanford.edu/kundaje/oak/projects/neuro-variants/variant_position/credible/roussos_2024/variant_figures/roussos_2024.childhood.Astrocyte/rs2697260_profile_position.png",4,220,900)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-0.0021428700299999</v>
      </c>
      <c r="G2280" t="n">
        <v>0.8969532939667588</v>
      </c>
      <c r="H2280" t="n">
        <v>0.0198812986976199</v>
      </c>
      <c r="I2280" t="n">
        <v>0.1294467067455982</v>
      </c>
      <c r="J2280" t="n">
        <v>0.0450565974368955</v>
      </c>
      <c r="K2280" t="n">
        <v>0.4665816523242526</v>
      </c>
      <c r="L2280" t="b">
        <v>0</v>
      </c>
      <c r="M2280" t="b">
        <v>0</v>
      </c>
      <c r="N2280" t="inlineStr">
        <is>
          <t>ref</t>
        </is>
      </c>
      <c r="O2280" t="n">
        <v>60</v>
      </c>
      <c r="P2280" t="n">
        <v>0.005287</v>
      </c>
      <c r="Q2280" t="n">
        <v>-100</v>
      </c>
      <c r="R2280" t="n">
        <v>0.099</v>
      </c>
      <c r="S2280">
        <f>IMAGE("https://mitra.stanford.edu/kundaje/oak/projects/neuro-variants/variant_position/credible/roussos_2024/variant_figures/roussos_2024.childhood.Astrocyte/rs7595352_count_position.png",4,220,900)</f>
        <v/>
      </c>
      <c r="T2280">
        <f>IMAGE("https://mitra.stanford.edu/kundaje/oak/projects/neuro-variants/variant_position/credible/roussos_2024/variant_figures/roussos_2024.childhood.Astrocyte/rs7595352_profile_position.png",4,220,900)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-0.0067530143399999</v>
      </c>
      <c r="G2281" t="n">
        <v>0.817569655145578</v>
      </c>
      <c r="H2281" t="n">
        <v>0.0239528397300324</v>
      </c>
      <c r="I2281" t="n">
        <v>0.0677187183189127</v>
      </c>
      <c r="J2281" t="n">
        <v>0.1100180898078816</v>
      </c>
      <c r="K2281" t="n">
        <v>0.3075928187676388</v>
      </c>
      <c r="L2281" t="b">
        <v>0</v>
      </c>
      <c r="M2281" t="b">
        <v>0</v>
      </c>
      <c r="N2281" t="inlineStr">
        <is>
          <t>ref</t>
        </is>
      </c>
      <c r="O2281" t="n">
        <v>45</v>
      </c>
      <c r="P2281" t="n">
        <v>0.00685</v>
      </c>
      <c r="Q2281" t="n">
        <v>100</v>
      </c>
      <c r="R2281" t="n">
        <v>0.1375</v>
      </c>
      <c r="S2281">
        <f>IMAGE("https://mitra.stanford.edu/kundaje/oak/projects/neuro-variants/variant_position/credible/roussos_2024/variant_figures/roussos_2024.childhood.Astrocyte/rs788007_count_position.png",4,220,900)</f>
        <v/>
      </c>
      <c r="T2281">
        <f>IMAGE("https://mitra.stanford.edu/kundaje/oak/projects/neuro-variants/variant_position/credible/roussos_2024/variant_figures/roussos_2024.childhood.Astrocyte/rs788007_profile_position.png",4,220,900)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-0.036811515</v>
      </c>
      <c r="G2282" t="n">
        <v>0.321976546807063</v>
      </c>
      <c r="H2282" t="n">
        <v>0.0212695488754233</v>
      </c>
      <c r="I2282" t="n">
        <v>0.1023199535237661</v>
      </c>
      <c r="J2282" t="n">
        <v>0.0092090097929212</v>
      </c>
      <c r="K2282" t="n">
        <v>0.7042959103042624</v>
      </c>
      <c r="L2282" t="b">
        <v>0</v>
      </c>
      <c r="M2282" t="b">
        <v>0</v>
      </c>
      <c r="N2282" t="inlineStr">
        <is>
          <t>ref</t>
        </is>
      </c>
      <c r="O2282" t="n">
        <v>-100</v>
      </c>
      <c r="P2282" t="n">
        <v>0.00193</v>
      </c>
      <c r="Q2282" t="n">
        <v>100</v>
      </c>
      <c r="R2282" t="n">
        <v>0.06067</v>
      </c>
      <c r="S2282">
        <f>IMAGE("https://mitra.stanford.edu/kundaje/oak/projects/neuro-variants/variant_position/credible/roussos_2024/variant_figures/roussos_2024.childhood.Astrocyte/rs55775495_count_position.png",4,220,900)</f>
        <v/>
      </c>
      <c r="T2282">
        <f>IMAGE("https://mitra.stanford.edu/kundaje/oak/projects/neuro-variants/variant_position/credible/roussos_2024/variant_figures/roussos_2024.childhood.Astrocyte/rs55775495_profile_position.png",4,220,900)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-0.027244486</v>
      </c>
      <c r="G2283" t="n">
        <v>0.428274074111919</v>
      </c>
      <c r="H2283" t="n">
        <v>0.0241118433650125</v>
      </c>
      <c r="I2283" t="n">
        <v>0.067638866621548</v>
      </c>
      <c r="J2283" t="n">
        <v>0.0105218566096493</v>
      </c>
      <c r="K2283" t="n">
        <v>0.6828656416127632</v>
      </c>
      <c r="L2283" t="b">
        <v>0</v>
      </c>
      <c r="M2283" t="b">
        <v>0</v>
      </c>
      <c r="N2283" t="inlineStr">
        <is>
          <t>ref</t>
        </is>
      </c>
      <c r="O2283" t="n">
        <v>100</v>
      </c>
      <c r="P2283" t="n">
        <v>0.01707</v>
      </c>
      <c r="Q2283" t="n">
        <v>-75</v>
      </c>
      <c r="R2283" t="n">
        <v>0.05768</v>
      </c>
      <c r="S2283">
        <f>IMAGE("https://mitra.stanford.edu/kundaje/oak/projects/neuro-variants/variant_position/credible/roussos_2024/variant_figures/roussos_2024.childhood.Astrocyte/rs788023_count_position.png",4,220,900)</f>
        <v/>
      </c>
      <c r="T2283">
        <f>IMAGE("https://mitra.stanford.edu/kundaje/oak/projects/neuro-variants/variant_position/credible/roussos_2024/variant_figures/roussos_2024.childhood.Astrocyte/rs788023_profile_position.png",4,220,900)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-0.0296914335199999</v>
      </c>
      <c r="G2284" t="n">
        <v>0.3264702153496763</v>
      </c>
      <c r="H2284" t="n">
        <v>0.0150357110392455</v>
      </c>
      <c r="I2284" t="n">
        <v>0.2934863159663873</v>
      </c>
      <c r="J2284" t="n">
        <v>0.9870104493447216</v>
      </c>
      <c r="K2284" t="n">
        <v>1.167562947264838e-05</v>
      </c>
      <c r="L2284" t="b">
        <v>0</v>
      </c>
      <c r="M2284" t="b">
        <v>0</v>
      </c>
      <c r="N2284" t="inlineStr">
        <is>
          <t>ref</t>
        </is>
      </c>
      <c r="O2284" t="n">
        <v>-100</v>
      </c>
      <c r="P2284" t="n">
        <v>0.02972</v>
      </c>
      <c r="Q2284" t="n">
        <v>-100</v>
      </c>
      <c r="R2284" t="n">
        <v>0.3584</v>
      </c>
      <c r="S2284">
        <f>IMAGE("https://mitra.stanford.edu/kundaje/oak/projects/neuro-variants/variant_position/credible/roussos_2024/variant_figures/roussos_2024.childhood.Astrocyte/rs1116734_count_position.png",4,220,900)</f>
        <v/>
      </c>
      <c r="T2284">
        <f>IMAGE("https://mitra.stanford.edu/kundaje/oak/projects/neuro-variants/variant_position/credible/roussos_2024/variant_figures/roussos_2024.childhood.Astrocyte/rs1116734_profile_position.png",4,220,900)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0.0291972255</v>
      </c>
      <c r="G2285" t="n">
        <v>0.3809877257078115</v>
      </c>
      <c r="H2285" t="n">
        <v>0.0109113361914141</v>
      </c>
      <c r="I2285" t="n">
        <v>0.6015625941342684</v>
      </c>
      <c r="J2285" t="n">
        <v>0.0044468869501499</v>
      </c>
      <c r="K2285" t="n">
        <v>0.7902686548991391</v>
      </c>
      <c r="L2285" t="b">
        <v>0</v>
      </c>
      <c r="M2285" t="b">
        <v>0</v>
      </c>
      <c r="N2285" t="inlineStr">
        <is>
          <t>alt</t>
        </is>
      </c>
      <c r="O2285" t="n">
        <v>95</v>
      </c>
      <c r="P2285" t="n">
        <v>0.01286</v>
      </c>
      <c r="Q2285" t="n">
        <v>-70</v>
      </c>
      <c r="R2285" t="n">
        <v>0.10583</v>
      </c>
      <c r="S2285">
        <f>IMAGE("https://mitra.stanford.edu/kundaje/oak/projects/neuro-variants/variant_position/credible/roussos_2024/variant_figures/roussos_2024.childhood.Astrocyte/rs11680291_count_position.png",4,220,900)</f>
        <v/>
      </c>
      <c r="T2285">
        <f>IMAGE("https://mitra.stanford.edu/kundaje/oak/projects/neuro-variants/variant_position/credible/roussos_2024/variant_figures/roussos_2024.childhood.Astrocyte/rs11680291_profile_position.png",4,220,900)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-0.06343434840000001</v>
      </c>
      <c r="G2286" t="n">
        <v>0.1594488964608993</v>
      </c>
      <c r="H2286" t="n">
        <v>0.0121242255544326</v>
      </c>
      <c r="I2286" t="n">
        <v>0.4987700383641431</v>
      </c>
      <c r="J2286" t="n">
        <v>0.0335653713753596</v>
      </c>
      <c r="K2286" t="n">
        <v>0.5243720173505504</v>
      </c>
      <c r="L2286" t="b">
        <v>0</v>
      </c>
      <c r="M2286" t="b">
        <v>0</v>
      </c>
      <c r="N2286" t="inlineStr">
        <is>
          <t>ref</t>
        </is>
      </c>
      <c r="O2286" t="n">
        <v>100</v>
      </c>
      <c r="P2286" t="n">
        <v>0.05457</v>
      </c>
      <c r="Q2286" t="n">
        <v>100</v>
      </c>
      <c r="R2286" t="n">
        <v>0.4</v>
      </c>
      <c r="S2286">
        <f>IMAGE("https://mitra.stanford.edu/kundaje/oak/projects/neuro-variants/variant_position/credible/roussos_2024/variant_figures/roussos_2024.childhood.Astrocyte/rs1455653_count_position.png",4,220,900)</f>
        <v/>
      </c>
      <c r="T2286">
        <f>IMAGE("https://mitra.stanford.edu/kundaje/oak/projects/neuro-variants/variant_position/credible/roussos_2024/variant_figures/roussos_2024.childhood.Astrocyte/rs1455653_profile_position.png",4,220,900)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-0.0541157094</v>
      </c>
      <c r="G2287" t="n">
        <v>0.1971813640002676</v>
      </c>
      <c r="H2287" t="n">
        <v>0.0160799102488487</v>
      </c>
      <c r="I2287" t="n">
        <v>0.2512321517593752</v>
      </c>
      <c r="J2287" t="n">
        <v>0.0036019326326394</v>
      </c>
      <c r="K2287" t="n">
        <v>0.8156407367234688</v>
      </c>
      <c r="L2287" t="b">
        <v>0</v>
      </c>
      <c r="M2287" t="b">
        <v>0</v>
      </c>
      <c r="N2287" t="inlineStr">
        <is>
          <t>ref</t>
        </is>
      </c>
      <c r="O2287" t="n">
        <v>35</v>
      </c>
      <c r="P2287" t="n">
        <v>0.01709</v>
      </c>
      <c r="Q2287" t="n">
        <v>35</v>
      </c>
      <c r="R2287" t="n">
        <v>0.134</v>
      </c>
      <c r="S2287">
        <f>IMAGE("https://mitra.stanford.edu/kundaje/oak/projects/neuro-variants/variant_position/credible/roussos_2024/variant_figures/roussos_2024.childhood.Astrocyte/rs34139878_count_position.png",4,220,900)</f>
        <v/>
      </c>
      <c r="T2287">
        <f>IMAGE("https://mitra.stanford.edu/kundaje/oak/projects/neuro-variants/variant_position/credible/roussos_2024/variant_figures/roussos_2024.childhood.Astrocyte/rs34139878_profile_position.png",4,220,900)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0.0544509004</v>
      </c>
      <c r="G2288" t="n">
        <v>0.2049434928815053</v>
      </c>
      <c r="H2288" t="n">
        <v>0.0301777380169212</v>
      </c>
      <c r="I2288" t="n">
        <v>0.0289810113642775</v>
      </c>
      <c r="J2288" t="n">
        <v>0.3166067489485776</v>
      </c>
      <c r="K2288" t="n">
        <v>0.1234465028522409</v>
      </c>
      <c r="L2288" t="b">
        <v>0</v>
      </c>
      <c r="M2288" t="b">
        <v>0</v>
      </c>
      <c r="N2288" t="inlineStr">
        <is>
          <t>alt</t>
        </is>
      </c>
      <c r="O2288" t="n">
        <v>100</v>
      </c>
      <c r="P2288" t="n">
        <v>0.0202</v>
      </c>
      <c r="Q2288" t="n">
        <v>100</v>
      </c>
      <c r="R2288" t="n">
        <v>0.2202</v>
      </c>
      <c r="S2288">
        <f>IMAGE("https://mitra.stanford.edu/kundaje/oak/projects/neuro-variants/variant_position/credible/roussos_2024/variant_figures/roussos_2024.childhood.Astrocyte/rs1376584_count_position.png",4,220,900)</f>
        <v/>
      </c>
      <c r="T2288">
        <f>IMAGE("https://mitra.stanford.edu/kundaje/oak/projects/neuro-variants/variant_position/credible/roussos_2024/variant_figures/roussos_2024.childhood.Astrocyte/rs1376584_profile_position.png",4,220,900)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-0.0244709737999999</v>
      </c>
      <c r="G2289" t="n">
        <v>0.4705038574749854</v>
      </c>
      <c r="H2289" t="n">
        <v>0.009086644824669299</v>
      </c>
      <c r="I2289" t="n">
        <v>0.7867951156802583</v>
      </c>
      <c r="J2289" t="n">
        <v>0.1279735598757374</v>
      </c>
      <c r="K2289" t="n">
        <v>0.2843945626470344</v>
      </c>
      <c r="L2289" t="b">
        <v>0</v>
      </c>
      <c r="M2289" t="b">
        <v>0</v>
      </c>
      <c r="N2289" t="inlineStr">
        <is>
          <t>ref</t>
        </is>
      </c>
      <c r="O2289" t="n">
        <v>35</v>
      </c>
      <c r="P2289" t="n">
        <v>0.002258</v>
      </c>
      <c r="Q2289" t="n">
        <v>40</v>
      </c>
      <c r="R2289" t="n">
        <v>0.008240000000000001</v>
      </c>
      <c r="S2289">
        <f>IMAGE("https://mitra.stanford.edu/kundaje/oak/projects/neuro-variants/variant_position/credible/roussos_2024/variant_figures/roussos_2024.childhood.Astrocyte/rs6733580_count_position.png",4,220,900)</f>
        <v/>
      </c>
      <c r="T2289">
        <f>IMAGE("https://mitra.stanford.edu/kundaje/oak/projects/neuro-variants/variant_position/credible/roussos_2024/variant_figures/roussos_2024.childhood.Astrocyte/rs6733580_profile_position.png",4,220,900)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-0.0154831227</v>
      </c>
      <c r="G2290" t="n">
        <v>0.5633531414400039</v>
      </c>
      <c r="H2290" t="n">
        <v>0.0090988371069924</v>
      </c>
      <c r="I2290" t="n">
        <v>0.8085664597706624</v>
      </c>
      <c r="J2290" t="n">
        <v>0.0001763183806186</v>
      </c>
      <c r="K2290" t="n">
        <v>0.975545798153245</v>
      </c>
      <c r="L2290" t="b">
        <v>0</v>
      </c>
      <c r="M2290" t="b">
        <v>0</v>
      </c>
      <c r="N2290" t="inlineStr">
        <is>
          <t>ref</t>
        </is>
      </c>
      <c r="O2290" t="n">
        <v>-75</v>
      </c>
      <c r="P2290" t="n">
        <v>0.009140000000000001</v>
      </c>
      <c r="Q2290" t="n">
        <v>100</v>
      </c>
      <c r="R2290" t="n">
        <v>0.07049999999999999</v>
      </c>
      <c r="S2290">
        <f>IMAGE("https://mitra.stanford.edu/kundaje/oak/projects/neuro-variants/variant_position/credible/roussos_2024/variant_figures/roussos_2024.childhood.Astrocyte/rs2345458_count_position.png",4,220,900)</f>
        <v/>
      </c>
      <c r="T2290">
        <f>IMAGE("https://mitra.stanford.edu/kundaje/oak/projects/neuro-variants/variant_position/credible/roussos_2024/variant_figures/roussos_2024.childhood.Astrocyte/rs2345458_profile_position.png",4,220,900)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0.134796466</v>
      </c>
      <c r="G2291" t="n">
        <v>0.0463491212465144</v>
      </c>
      <c r="H2291" t="n">
        <v>0.0210726383146308</v>
      </c>
      <c r="I2291" t="n">
        <v>0.1147033580210795</v>
      </c>
      <c r="J2291" t="n">
        <v>0.0206147481547632</v>
      </c>
      <c r="K2291" t="n">
        <v>0.6188782926971248</v>
      </c>
      <c r="L2291" t="b">
        <v>0</v>
      </c>
      <c r="M2291" t="b">
        <v>0</v>
      </c>
      <c r="N2291" t="inlineStr">
        <is>
          <t>alt</t>
        </is>
      </c>
      <c r="O2291" t="n">
        <v>-45</v>
      </c>
      <c r="P2291" t="n">
        <v>0.009155</v>
      </c>
      <c r="Q2291" t="n">
        <v>-45</v>
      </c>
      <c r="R2291" t="n">
        <v>0.1262</v>
      </c>
      <c r="S2291">
        <f>IMAGE("https://mitra.stanford.edu/kundaje/oak/projects/neuro-variants/variant_position/credible/roussos_2024/variant_figures/roussos_2024.childhood.Astrocyte/rs921465_count_position.png",4,220,900)</f>
        <v/>
      </c>
      <c r="T2291">
        <f>IMAGE("https://mitra.stanford.edu/kundaje/oak/projects/neuro-variants/variant_position/credible/roussos_2024/variant_figures/roussos_2024.childhood.Astrocyte/rs921465_profile_position.png",4,220,900)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-0.116727425</v>
      </c>
      <c r="G2292" t="n">
        <v>0.0612069674089861</v>
      </c>
      <c r="H2292" t="n">
        <v>0.0185897482272747</v>
      </c>
      <c r="I2292" t="n">
        <v>0.1607220323657148</v>
      </c>
      <c r="J2292" t="n">
        <v>0.0160365765229404</v>
      </c>
      <c r="K2292" t="n">
        <v>0.6480077221956745</v>
      </c>
      <c r="L2292" t="b">
        <v>0</v>
      </c>
      <c r="M2292" t="b">
        <v>0</v>
      </c>
      <c r="N2292" t="inlineStr">
        <is>
          <t>ref</t>
        </is>
      </c>
      <c r="O2292" t="n">
        <v>35</v>
      </c>
      <c r="P2292" t="n">
        <v>0.02615</v>
      </c>
      <c r="Q2292" t="n">
        <v>-80</v>
      </c>
      <c r="R2292" t="n">
        <v>0.2512</v>
      </c>
      <c r="S2292">
        <f>IMAGE("https://mitra.stanford.edu/kundaje/oak/projects/neuro-variants/variant_position/credible/roussos_2024/variant_figures/roussos_2024.childhood.Astrocyte/rs1868915_count_position.png",4,220,900)</f>
        <v/>
      </c>
      <c r="T2292">
        <f>IMAGE("https://mitra.stanford.edu/kundaje/oak/projects/neuro-variants/variant_position/credible/roussos_2024/variant_figures/roussos_2024.childhood.Astrocyte/rs1868915_profile_position.png",4,220,900)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-0.0487888504</v>
      </c>
      <c r="G2293" t="n">
        <v>0.2238380319315156</v>
      </c>
      <c r="H2293" t="n">
        <v>0.0114389928399802</v>
      </c>
      <c r="I2293" t="n">
        <v>0.5617727871925052</v>
      </c>
      <c r="J2293" t="n">
        <v>0.0557257676719104</v>
      </c>
      <c r="K2293" t="n">
        <v>0.4343931822686797</v>
      </c>
      <c r="L2293" t="b">
        <v>0</v>
      </c>
      <c r="M2293" t="b">
        <v>0</v>
      </c>
      <c r="N2293" t="inlineStr">
        <is>
          <t>ref</t>
        </is>
      </c>
      <c r="O2293" t="n">
        <v>-15</v>
      </c>
      <c r="P2293" t="n">
        <v>0.002144</v>
      </c>
      <c r="Q2293" t="n">
        <v>35</v>
      </c>
      <c r="R2293" t="n">
        <v>0.0803</v>
      </c>
      <c r="S2293">
        <f>IMAGE("https://mitra.stanford.edu/kundaje/oak/projects/neuro-variants/variant_position/credible/roussos_2024/variant_figures/roussos_2024.childhood.Astrocyte/rs1376593_count_position.png",4,220,900)</f>
        <v/>
      </c>
      <c r="T2293">
        <f>IMAGE("https://mitra.stanford.edu/kundaje/oak/projects/neuro-variants/variant_position/credible/roussos_2024/variant_figures/roussos_2024.childhood.Astrocyte/rs1376593_profile_position.png",4,220,900)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0.15234025</v>
      </c>
      <c r="G2294" t="n">
        <v>0.029250785742655</v>
      </c>
      <c r="H2294" t="n">
        <v>0.0228384918432804</v>
      </c>
      <c r="I2294" t="n">
        <v>0.09042327283931111</v>
      </c>
      <c r="J2294" t="n">
        <v>0.0018776762611343</v>
      </c>
      <c r="K2294" t="n">
        <v>0.8686632160883787</v>
      </c>
      <c r="L2294" t="b">
        <v>0</v>
      </c>
      <c r="M2294" t="b">
        <v>0</v>
      </c>
      <c r="N2294" t="inlineStr">
        <is>
          <t>alt</t>
        </is>
      </c>
      <c r="O2294" t="n">
        <v>-100</v>
      </c>
      <c r="P2294" t="n">
        <v>0.000473</v>
      </c>
      <c r="Q2294" t="n">
        <v>-30</v>
      </c>
      <c r="R2294" t="n">
        <v>0.06415</v>
      </c>
      <c r="S2294">
        <f>IMAGE("https://mitra.stanford.edu/kundaje/oak/projects/neuro-variants/variant_position/credible/roussos_2024/variant_figures/roussos_2024.childhood.Astrocyte/rs6731445_count_position.png",4,220,900)</f>
        <v/>
      </c>
      <c r="T2294">
        <f>IMAGE("https://mitra.stanford.edu/kundaje/oak/projects/neuro-variants/variant_position/credible/roussos_2024/variant_figures/roussos_2024.childhood.Astrocyte/rs6731445_profile_position.png",4,220,900)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-0.0315873636</v>
      </c>
      <c r="G2295" t="n">
        <v>0.377847325103478</v>
      </c>
      <c r="H2295" t="n">
        <v>0.0219380013653331</v>
      </c>
      <c r="I2295" t="n">
        <v>0.0931136604672263</v>
      </c>
      <c r="J2295" t="n">
        <v>0.0504178974605573</v>
      </c>
      <c r="K2295" t="n">
        <v>0.4427291178813025</v>
      </c>
      <c r="L2295" t="b">
        <v>0</v>
      </c>
      <c r="M2295" t="b">
        <v>0</v>
      </c>
      <c r="N2295" t="inlineStr">
        <is>
          <t>ref</t>
        </is>
      </c>
      <c r="O2295" t="n">
        <v>90</v>
      </c>
      <c r="P2295" t="n">
        <v>0.01199</v>
      </c>
      <c r="Q2295" t="n">
        <v>100</v>
      </c>
      <c r="R2295" t="n">
        <v>0.0905</v>
      </c>
      <c r="S2295">
        <f>IMAGE("https://mitra.stanford.edu/kundaje/oak/projects/neuro-variants/variant_position/credible/roussos_2024/variant_figures/roussos_2024.childhood.Astrocyte/rs6743084_count_position.png",4,220,900)</f>
        <v/>
      </c>
      <c r="T2295">
        <f>IMAGE("https://mitra.stanford.edu/kundaje/oak/projects/neuro-variants/variant_position/credible/roussos_2024/variant_figures/roussos_2024.childhood.Astrocyte/rs6743084_profile_position.png",4,220,900)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0.06966761339999999</v>
      </c>
      <c r="G2296" t="n">
        <v>0.1424914881105089</v>
      </c>
      <c r="H2296" t="n">
        <v>0.0126519412977829</v>
      </c>
      <c r="I2296" t="n">
        <v>0.4474292953476325</v>
      </c>
      <c r="J2296" t="n">
        <v>0.085958645325273</v>
      </c>
      <c r="K2296" t="n">
        <v>0.3693349806059588</v>
      </c>
      <c r="L2296" t="b">
        <v>0</v>
      </c>
      <c r="M2296" t="b">
        <v>0</v>
      </c>
      <c r="N2296" t="inlineStr">
        <is>
          <t>alt</t>
        </is>
      </c>
      <c r="O2296" t="n">
        <v>40</v>
      </c>
      <c r="P2296" t="n">
        <v>0.02136</v>
      </c>
      <c r="Q2296" t="n">
        <v>40</v>
      </c>
      <c r="R2296" t="n">
        <v>0.1956</v>
      </c>
      <c r="S2296">
        <f>IMAGE("https://mitra.stanford.edu/kundaje/oak/projects/neuro-variants/variant_position/credible/roussos_2024/variant_figures/roussos_2024.childhood.Astrocyte/rs60642146_count_position.png",4,220,900)</f>
        <v/>
      </c>
      <c r="T2296">
        <f>IMAGE("https://mitra.stanford.edu/kundaje/oak/projects/neuro-variants/variant_position/credible/roussos_2024/variant_figures/roussos_2024.childhood.Astrocyte/rs60642146_profile_position.png",4,220,900)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-0.1928640089999999</v>
      </c>
      <c r="G2297" t="n">
        <v>0.0234279243326855</v>
      </c>
      <c r="H2297" t="n">
        <v>0.0236517003520629</v>
      </c>
      <c r="I2297" t="n">
        <v>0.07423075283944949</v>
      </c>
      <c r="J2297" t="n">
        <v>0.07182188027142331</v>
      </c>
      <c r="K2297" t="n">
        <v>0.4000338528179358</v>
      </c>
      <c r="L2297" t="b">
        <v>0</v>
      </c>
      <c r="M2297" t="b">
        <v>0</v>
      </c>
      <c r="N2297" t="inlineStr">
        <is>
          <t>ref</t>
        </is>
      </c>
      <c r="O2297" t="n">
        <v>25</v>
      </c>
      <c r="P2297" t="n">
        <v>0.01913</v>
      </c>
      <c r="Q2297" t="n">
        <v>55</v>
      </c>
      <c r="R2297" t="n">
        <v>0.177</v>
      </c>
      <c r="S2297">
        <f>IMAGE("https://mitra.stanford.edu/kundaje/oak/projects/neuro-variants/variant_position/credible/roussos_2024/variant_figures/roussos_2024.childhood.Astrocyte/rs896350_count_position.png",4,220,900)</f>
        <v/>
      </c>
      <c r="T2297">
        <f>IMAGE("https://mitra.stanford.edu/kundaje/oak/projects/neuro-variants/variant_position/credible/roussos_2024/variant_figures/roussos_2024.childhood.Astrocyte/rs896350_profile_position.png",4,220,900)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-0.26436709</v>
      </c>
      <c r="G2298" t="n">
        <v>0.008200809246398599</v>
      </c>
      <c r="H2298" t="n">
        <v>0.033665374483147</v>
      </c>
      <c r="I2298" t="n">
        <v>0.0199989013295061</v>
      </c>
      <c r="J2298" t="n">
        <v>0.0414401624266293</v>
      </c>
      <c r="K2298" t="n">
        <v>0.4927701601628045</v>
      </c>
      <c r="L2298" t="b">
        <v>1</v>
      </c>
      <c r="M2298" t="b">
        <v>1</v>
      </c>
      <c r="N2298" t="inlineStr">
        <is>
          <t>ref</t>
        </is>
      </c>
      <c r="O2298" t="n">
        <v>60</v>
      </c>
      <c r="P2298" t="n">
        <v>0.00708</v>
      </c>
      <c r="Q2298" t="n">
        <v>-85</v>
      </c>
      <c r="R2298" t="n">
        <v>0.02954</v>
      </c>
      <c r="S2298">
        <f>IMAGE("https://mitra.stanford.edu/kundaje/oak/projects/neuro-variants/variant_position/credible/roussos_2024/variant_figures/roussos_2024.childhood.Astrocyte/rs2122844_count_position.png",4,220,900)</f>
        <v/>
      </c>
      <c r="T2298">
        <f>IMAGE("https://mitra.stanford.edu/kundaje/oak/projects/neuro-variants/variant_position/credible/roussos_2024/variant_figures/roussos_2024.childhood.Astrocyte/rs2122844_profile_position.png",4,220,900)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0.065495242</v>
      </c>
      <c r="G2299" t="n">
        <v>0.1632360652122702</v>
      </c>
      <c r="H2299" t="n">
        <v>0.019268435382218</v>
      </c>
      <c r="I2299" t="n">
        <v>0.1557953239485036</v>
      </c>
      <c r="J2299" t="n">
        <v>0.0930365688901101</v>
      </c>
      <c r="K2299" t="n">
        <v>0.3350768788117363</v>
      </c>
      <c r="L2299" t="b">
        <v>0</v>
      </c>
      <c r="M2299" t="b">
        <v>0</v>
      </c>
      <c r="N2299" t="inlineStr">
        <is>
          <t>alt</t>
        </is>
      </c>
      <c r="O2299" t="n">
        <v>-15</v>
      </c>
      <c r="P2299" t="n">
        <v>0.000885</v>
      </c>
      <c r="Q2299" t="n">
        <v>-75</v>
      </c>
      <c r="R2299" t="n">
        <v>0.1737</v>
      </c>
      <c r="S2299">
        <f>IMAGE("https://mitra.stanford.edu/kundaje/oak/projects/neuro-variants/variant_position/credible/roussos_2024/variant_figures/roussos_2024.childhood.Astrocyte/rs281760_count_position.png",4,220,900)</f>
        <v/>
      </c>
      <c r="T2299">
        <f>IMAGE("https://mitra.stanford.edu/kundaje/oak/projects/neuro-variants/variant_position/credible/roussos_2024/variant_figures/roussos_2024.childhood.Astrocyte/rs281760_profile_position.png",4,220,900)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-0.0426313158</v>
      </c>
      <c r="G2300" t="n">
        <v>0.2701259301783278</v>
      </c>
      <c r="H2300" t="n">
        <v>0.0261015042429534</v>
      </c>
      <c r="I2300" t="n">
        <v>0.0510675977601694</v>
      </c>
      <c r="J2300" t="n">
        <v>0.0057505743704822</v>
      </c>
      <c r="K2300" t="n">
        <v>0.7546470684718283</v>
      </c>
      <c r="L2300" t="b">
        <v>0</v>
      </c>
      <c r="M2300" t="b">
        <v>0</v>
      </c>
      <c r="N2300" t="inlineStr">
        <is>
          <t>ref</t>
        </is>
      </c>
      <c r="O2300" t="n">
        <v>95</v>
      </c>
      <c r="P2300" t="n">
        <v>0.00812</v>
      </c>
      <c r="Q2300" t="n">
        <v>-100</v>
      </c>
      <c r="R2300" t="n">
        <v>0.06850000000000001</v>
      </c>
      <c r="S2300">
        <f>IMAGE("https://mitra.stanford.edu/kundaje/oak/projects/neuro-variants/variant_position/credible/roussos_2024/variant_figures/roussos_2024.childhood.Astrocyte/rs176008_count_position.png",4,220,900)</f>
        <v/>
      </c>
      <c r="T2300">
        <f>IMAGE("https://mitra.stanford.edu/kundaje/oak/projects/neuro-variants/variant_position/credible/roussos_2024/variant_figures/roussos_2024.childhood.Astrocyte/rs176008_profile_position.png",4,220,900)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0.0298014044</v>
      </c>
      <c r="G2301" t="n">
        <v>0.3305578436060089</v>
      </c>
      <c r="H2301" t="n">
        <v>0.0156679325335346</v>
      </c>
      <c r="I2301" t="n">
        <v>0.2746571979115951</v>
      </c>
      <c r="J2301" t="n">
        <v>0.832810484455741</v>
      </c>
      <c r="K2301" t="n">
        <v>0.0051950054095494</v>
      </c>
      <c r="L2301" t="b">
        <v>0</v>
      </c>
      <c r="M2301" t="b">
        <v>0</v>
      </c>
      <c r="N2301" t="inlineStr">
        <is>
          <t>alt</t>
        </is>
      </c>
      <c r="O2301" t="n">
        <v>-100</v>
      </c>
      <c r="P2301" t="n">
        <v>0.02737</v>
      </c>
      <c r="Q2301" t="n">
        <v>75</v>
      </c>
      <c r="R2301" t="n">
        <v>0.156</v>
      </c>
      <c r="S2301">
        <f>IMAGE("https://mitra.stanford.edu/kundaje/oak/projects/neuro-variants/variant_position/credible/roussos_2024/variant_figures/roussos_2024.childhood.Astrocyte/rs281766_count_position.png",4,220,900)</f>
        <v/>
      </c>
      <c r="T2301">
        <f>IMAGE("https://mitra.stanford.edu/kundaje/oak/projects/neuro-variants/variant_position/credible/roussos_2024/variant_figures/roussos_2024.childhood.Astrocyte/rs281766_profile_position.png",4,220,900)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-0.0119552733999999</v>
      </c>
      <c r="G2302" t="n">
        <v>0.5353342954611274</v>
      </c>
      <c r="H2302" t="n">
        <v>0.0108625863947316</v>
      </c>
      <c r="I2302" t="n">
        <v>0.631179942483447</v>
      </c>
      <c r="J2302" t="n">
        <v>0.0006617663895948</v>
      </c>
      <c r="K2302" t="n">
        <v>0.9348313231245406</v>
      </c>
      <c r="L2302" t="b">
        <v>0</v>
      </c>
      <c r="M2302" t="b">
        <v>0</v>
      </c>
      <c r="N2302" t="inlineStr">
        <is>
          <t>ref</t>
        </is>
      </c>
      <c r="O2302" t="n">
        <v>45</v>
      </c>
      <c r="P2302" t="n">
        <v>0.002224</v>
      </c>
      <c r="Q2302" t="n">
        <v>45</v>
      </c>
      <c r="R2302" t="n">
        <v>0.0234</v>
      </c>
      <c r="S2302">
        <f>IMAGE("https://mitra.stanford.edu/kundaje/oak/projects/neuro-variants/variant_position/credible/roussos_2024/variant_figures/roussos_2024.childhood.Astrocyte/rs10178177_count_position.png",4,220,900)</f>
        <v/>
      </c>
      <c r="T2302">
        <f>IMAGE("https://mitra.stanford.edu/kundaje/oak/projects/neuro-variants/variant_position/credible/roussos_2024/variant_figures/roussos_2024.childhood.Astrocyte/rs10178177_profile_position.png",4,220,900)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-0.0977186974</v>
      </c>
      <c r="G2303" t="n">
        <v>0.0853262427741244</v>
      </c>
      <c r="H2303" t="n">
        <v>0.0112992109534992</v>
      </c>
      <c r="I2303" t="n">
        <v>0.5499837369511837</v>
      </c>
      <c r="J2303" t="n">
        <v>0.035030874798684</v>
      </c>
      <c r="K2303" t="n">
        <v>0.5210934333324331</v>
      </c>
      <c r="L2303" t="b">
        <v>0</v>
      </c>
      <c r="M2303" t="b">
        <v>0</v>
      </c>
      <c r="N2303" t="inlineStr">
        <is>
          <t>ref</t>
        </is>
      </c>
      <c r="O2303" t="n">
        <v>65</v>
      </c>
      <c r="P2303" t="n">
        <v>0.0027</v>
      </c>
      <c r="Q2303" t="n">
        <v>-30</v>
      </c>
      <c r="R2303" t="n">
        <v>0.0687</v>
      </c>
      <c r="S2303">
        <f>IMAGE("https://mitra.stanford.edu/kundaje/oak/projects/neuro-variants/variant_position/credible/roussos_2024/variant_figures/roussos_2024.childhood.Astrocyte/rs281793_count_position.png",4,220,900)</f>
        <v/>
      </c>
      <c r="T2303">
        <f>IMAGE("https://mitra.stanford.edu/kundaje/oak/projects/neuro-variants/variant_position/credible/roussos_2024/variant_figures/roussos_2024.childhood.Astrocyte/rs281793_profile_position.png",4,220,900)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0.147460841</v>
      </c>
      <c r="G2304" t="n">
        <v>0.0393103000894906</v>
      </c>
      <c r="H2304" t="n">
        <v>0.0244691284323494</v>
      </c>
      <c r="I2304" t="n">
        <v>0.06766400561872921</v>
      </c>
      <c r="J2304" t="n">
        <v>0.0168052025371527</v>
      </c>
      <c r="K2304" t="n">
        <v>0.6350722603039005</v>
      </c>
      <c r="L2304" t="b">
        <v>0</v>
      </c>
      <c r="M2304" t="b">
        <v>0</v>
      </c>
      <c r="N2304" t="inlineStr">
        <is>
          <t>alt</t>
        </is>
      </c>
      <c r="O2304" t="n">
        <v>-10</v>
      </c>
      <c r="P2304" t="n">
        <v>0.001709</v>
      </c>
      <c r="Q2304" t="n">
        <v>100</v>
      </c>
      <c r="R2304" t="n">
        <v>0.1025</v>
      </c>
      <c r="S2304">
        <f>IMAGE("https://mitra.stanford.edu/kundaje/oak/projects/neuro-variants/variant_position/credible/roussos_2024/variant_figures/roussos_2024.childhood.Astrocyte/rs2202922_count_position.png",4,220,900)</f>
        <v/>
      </c>
      <c r="T2304">
        <f>IMAGE("https://mitra.stanford.edu/kundaje/oak/projects/neuro-variants/variant_position/credible/roussos_2024/variant_figures/roussos_2024.childhood.Astrocyte/rs2202922_profile_position.png",4,220,900)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0.142071722</v>
      </c>
      <c r="G2305" t="n">
        <v>0.0341883462668729</v>
      </c>
      <c r="H2305" t="n">
        <v>0.0261497675989007</v>
      </c>
      <c r="I2305" t="n">
        <v>0.049808470937802</v>
      </c>
      <c r="J2305" t="n">
        <v>0.0022516849472952</v>
      </c>
      <c r="K2305" t="n">
        <v>0.8662858545238218</v>
      </c>
      <c r="L2305" t="b">
        <v>0</v>
      </c>
      <c r="M2305" t="b">
        <v>0</v>
      </c>
      <c r="N2305" t="inlineStr">
        <is>
          <t>alt</t>
        </is>
      </c>
      <c r="O2305" t="n">
        <v>-20</v>
      </c>
      <c r="P2305" t="n">
        <v>0.001953</v>
      </c>
      <c r="Q2305" t="n">
        <v>65</v>
      </c>
      <c r="R2305" t="n">
        <v>0.05542</v>
      </c>
      <c r="S2305">
        <f>IMAGE("https://mitra.stanford.edu/kundaje/oak/projects/neuro-variants/variant_position/credible/roussos_2024/variant_figures/roussos_2024.childhood.Astrocyte/rs3106089_count_position.png",4,220,900)</f>
        <v/>
      </c>
      <c r="T2305">
        <f>IMAGE("https://mitra.stanford.edu/kundaje/oak/projects/neuro-variants/variant_position/credible/roussos_2024/variant_figures/roussos_2024.childhood.Astrocyte/rs3106089_profile_position.png",4,220,900)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0.0069910939199999</v>
      </c>
      <c r="G2306" t="n">
        <v>0.7641328550321701</v>
      </c>
      <c r="H2306" t="n">
        <v>0.0227073429648186</v>
      </c>
      <c r="I2306" t="n">
        <v>0.0831241094941267</v>
      </c>
      <c r="J2306" t="n">
        <v>0.0022623709097569</v>
      </c>
      <c r="K2306" t="n">
        <v>0.8546311491164784</v>
      </c>
      <c r="L2306" t="b">
        <v>0</v>
      </c>
      <c r="M2306" t="b">
        <v>0</v>
      </c>
      <c r="N2306" t="inlineStr">
        <is>
          <t>alt</t>
        </is>
      </c>
      <c r="O2306" t="n">
        <v>35</v>
      </c>
      <c r="P2306" t="n">
        <v>0.0009155</v>
      </c>
      <c r="Q2306" t="n">
        <v>95</v>
      </c>
      <c r="R2306" t="n">
        <v>0.2373</v>
      </c>
      <c r="S2306">
        <f>IMAGE("https://mitra.stanford.edu/kundaje/oak/projects/neuro-variants/variant_position/credible/roussos_2024/variant_figures/roussos_2024.childhood.Astrocyte/rs1509830_count_position.png",4,220,900)</f>
        <v/>
      </c>
      <c r="T2306">
        <f>IMAGE("https://mitra.stanford.edu/kundaje/oak/projects/neuro-variants/variant_position/credible/roussos_2024/variant_figures/roussos_2024.childhood.Astrocyte/rs1509830_profile_position.png",4,220,900)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0.0111870143399999</v>
      </c>
      <c r="G2307" t="n">
        <v>0.691814489253617</v>
      </c>
      <c r="H2307" t="n">
        <v>0.0194524679016695</v>
      </c>
      <c r="I2307" t="n">
        <v>0.1374167062122669</v>
      </c>
      <c r="J2307" t="n">
        <v>0.1268591666475845</v>
      </c>
      <c r="K2307" t="n">
        <v>0.2956473876190655</v>
      </c>
      <c r="L2307" t="b">
        <v>0</v>
      </c>
      <c r="M2307" t="b">
        <v>0</v>
      </c>
      <c r="N2307" t="inlineStr">
        <is>
          <t>alt</t>
        </is>
      </c>
      <c r="O2307" t="n">
        <v>100</v>
      </c>
      <c r="P2307" t="n">
        <v>0.1119</v>
      </c>
      <c r="Q2307" t="n">
        <v>100</v>
      </c>
      <c r="R2307" t="n">
        <v>0.4333</v>
      </c>
      <c r="S2307">
        <f>IMAGE("https://mitra.stanford.edu/kundaje/oak/projects/neuro-variants/variant_position/credible/roussos_2024/variant_figures/roussos_2024.childhood.Astrocyte/rs2079196_count_position.png",4,220,900)</f>
        <v/>
      </c>
      <c r="T2307">
        <f>IMAGE("https://mitra.stanford.edu/kundaje/oak/projects/neuro-variants/variant_position/credible/roussos_2024/variant_figures/roussos_2024.childhood.Astrocyte/rs2079196_profile_position.png",4,220,900)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0.15806493</v>
      </c>
      <c r="G2308" t="n">
        <v>0.0278537332249906</v>
      </c>
      <c r="H2308" t="n">
        <v>0.0300872607568189</v>
      </c>
      <c r="I2308" t="n">
        <v>0.0309752063478668</v>
      </c>
      <c r="J2308" t="n">
        <v>0.0046598429163517</v>
      </c>
      <c r="K2308" t="n">
        <v>0.78526270648604</v>
      </c>
      <c r="L2308" t="b">
        <v>0</v>
      </c>
      <c r="M2308" t="b">
        <v>0</v>
      </c>
      <c r="N2308" t="inlineStr">
        <is>
          <t>alt</t>
        </is>
      </c>
      <c r="O2308" t="n">
        <v>80</v>
      </c>
      <c r="P2308" t="n">
        <v>0.00665</v>
      </c>
      <c r="Q2308" t="n">
        <v>30</v>
      </c>
      <c r="R2308" t="n">
        <v>0.0636</v>
      </c>
      <c r="S2308">
        <f>IMAGE("https://mitra.stanford.edu/kundaje/oak/projects/neuro-variants/variant_position/credible/roussos_2024/variant_figures/roussos_2024.childhood.Astrocyte/rs3115414_count_position.png",4,220,900)</f>
        <v/>
      </c>
      <c r="T2308">
        <f>IMAGE("https://mitra.stanford.edu/kundaje/oak/projects/neuro-variants/variant_position/credible/roussos_2024/variant_figures/roussos_2024.childhood.Astrocyte/rs3115414_profile_position.png",4,220,900)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0.008839616999999999</v>
      </c>
      <c r="G2309" t="n">
        <v>0.125302629353203</v>
      </c>
      <c r="H2309" t="n">
        <v>0.0215563262442123</v>
      </c>
      <c r="I2309" t="n">
        <v>0.09756780842787929</v>
      </c>
      <c r="J2309" t="n">
        <v>0.0935182004839214</v>
      </c>
      <c r="K2309" t="n">
        <v>0.335020735906234</v>
      </c>
      <c r="L2309" t="b">
        <v>0</v>
      </c>
      <c r="M2309" t="b">
        <v>0</v>
      </c>
      <c r="N2309" t="inlineStr">
        <is>
          <t>alt</t>
        </is>
      </c>
      <c r="O2309" t="n">
        <v>-75</v>
      </c>
      <c r="P2309" t="n">
        <v>0.01561</v>
      </c>
      <c r="Q2309" t="n">
        <v>-100</v>
      </c>
      <c r="R2309" t="n">
        <v>0.1868</v>
      </c>
      <c r="S2309">
        <f>IMAGE("https://mitra.stanford.edu/kundaje/oak/projects/neuro-variants/variant_position/credible/roussos_2024/variant_figures/roussos_2024.childhood.Astrocyte/rs76568708_count_position.png",4,220,900)</f>
        <v/>
      </c>
      <c r="T2309">
        <f>IMAGE("https://mitra.stanford.edu/kundaje/oak/projects/neuro-variants/variant_position/credible/roussos_2024/variant_figures/roussos_2024.childhood.Astrocyte/rs76568708_profile_position.png",4,220,900)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-0.169527238</v>
      </c>
      <c r="G2310" t="n">
        <v>0.0251122220791216</v>
      </c>
      <c r="H2310" t="n">
        <v>0.025789699445078</v>
      </c>
      <c r="I2310" t="n">
        <v>0.0524012206758821</v>
      </c>
      <c r="J2310" t="n">
        <v>0.0050727790371947</v>
      </c>
      <c r="K2310" t="n">
        <v>0.7827021887393346</v>
      </c>
      <c r="L2310" t="b">
        <v>0</v>
      </c>
      <c r="M2310" t="b">
        <v>0</v>
      </c>
      <c r="N2310" t="inlineStr">
        <is>
          <t>ref</t>
        </is>
      </c>
      <c r="O2310" t="n">
        <v>30</v>
      </c>
      <c r="P2310" t="n">
        <v>0.002113</v>
      </c>
      <c r="Q2310" t="n">
        <v>-20</v>
      </c>
      <c r="R2310" t="n">
        <v>0.0348</v>
      </c>
      <c r="S2310">
        <f>IMAGE("https://mitra.stanford.edu/kundaje/oak/projects/neuro-variants/variant_position/credible/roussos_2024/variant_figures/roussos_2024.childhood.Astrocyte/rs10931887_count_position.png",4,220,900)</f>
        <v/>
      </c>
      <c r="T2310">
        <f>IMAGE("https://mitra.stanford.edu/kundaje/oak/projects/neuro-variants/variant_position/credible/roussos_2024/variant_figures/roussos_2024.childhood.Astrocyte/rs10931887_profile_position.png",4,220,900)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-0.22451843</v>
      </c>
      <c r="G2311" t="n">
        <v>0.0124451787341532</v>
      </c>
      <c r="H2311" t="n">
        <v>0.03809532937308</v>
      </c>
      <c r="I2311" t="n">
        <v>0.0123297950475228</v>
      </c>
      <c r="J2311" t="n">
        <v>0.0004778151786463</v>
      </c>
      <c r="K2311" t="n">
        <v>0.9652523409454548</v>
      </c>
      <c r="L2311" t="b">
        <v>1</v>
      </c>
      <c r="M2311" t="b">
        <v>0</v>
      </c>
      <c r="N2311" t="inlineStr">
        <is>
          <t>ref</t>
        </is>
      </c>
      <c r="O2311" t="n">
        <v>-100</v>
      </c>
      <c r="P2311" t="n">
        <v>0.01181</v>
      </c>
      <c r="Q2311" t="n">
        <v>30</v>
      </c>
      <c r="R2311" t="n">
        <v>0.047</v>
      </c>
      <c r="S2311">
        <f>IMAGE("https://mitra.stanford.edu/kundaje/oak/projects/neuro-variants/variant_position/credible/roussos_2024/variant_figures/roussos_2024.childhood.Astrocyte/rs112403441_count_position.png",4,220,900)</f>
        <v/>
      </c>
      <c r="T2311">
        <f>IMAGE("https://mitra.stanford.edu/kundaje/oak/projects/neuro-variants/variant_position/credible/roussos_2024/variant_figures/roussos_2024.childhood.Astrocyte/rs112403441_profile_position.png",4,220,900)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0.0293597718</v>
      </c>
      <c r="G2312" t="n">
        <v>0.3849964534523103</v>
      </c>
      <c r="H2312" t="n">
        <v>0.0433714978883404</v>
      </c>
      <c r="I2312" t="n">
        <v>0.0069772005170588</v>
      </c>
      <c r="J2312" t="n">
        <v>0.0039812843000312</v>
      </c>
      <c r="K2312" t="n">
        <v>0.807270446068429</v>
      </c>
      <c r="L2312" t="b">
        <v>0</v>
      </c>
      <c r="M2312" t="b">
        <v>0</v>
      </c>
      <c r="N2312" t="inlineStr">
        <is>
          <t>alt</t>
        </is>
      </c>
      <c r="O2312" t="n">
        <v>85</v>
      </c>
      <c r="P2312" t="n">
        <v>0.010124</v>
      </c>
      <c r="Q2312" t="n">
        <v>85</v>
      </c>
      <c r="R2312" t="n">
        <v>0.2412</v>
      </c>
      <c r="S2312">
        <f>IMAGE("https://mitra.stanford.edu/kundaje/oak/projects/neuro-variants/variant_position/credible/roussos_2024/variant_figures/roussos_2024.childhood.Astrocyte/rs74266489_count_position.png",4,220,900)</f>
        <v/>
      </c>
      <c r="T2312">
        <f>IMAGE("https://mitra.stanford.edu/kundaje/oak/projects/neuro-variants/variant_position/credible/roussos_2024/variant_figures/roussos_2024.childhood.Astrocyte/rs74266489_profile_position.png",4,220,900)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-0.016166287972</v>
      </c>
      <c r="G2313" t="n">
        <v>0.6096569288489916</v>
      </c>
      <c r="H2313" t="n">
        <v>0.0101129858429128</v>
      </c>
      <c r="I2313" t="n">
        <v>0.6977404027034988</v>
      </c>
      <c r="J2313" t="n">
        <v>0.0632853228305587</v>
      </c>
      <c r="K2313" t="n">
        <v>0.4174035487445922</v>
      </c>
      <c r="L2313" t="b">
        <v>0</v>
      </c>
      <c r="M2313" t="b">
        <v>0</v>
      </c>
      <c r="N2313" t="inlineStr">
        <is>
          <t>ref</t>
        </is>
      </c>
      <c r="O2313" t="n">
        <v>15</v>
      </c>
      <c r="P2313" t="n">
        <v>0.000555</v>
      </c>
      <c r="Q2313" t="n">
        <v>-75</v>
      </c>
      <c r="R2313" t="n">
        <v>0.0868</v>
      </c>
      <c r="S2313">
        <f>IMAGE("https://mitra.stanford.edu/kundaje/oak/projects/neuro-variants/variant_position/credible/roussos_2024/variant_figures/roussos_2024.childhood.Astrocyte/rs11684942_count_position.png",4,220,900)</f>
        <v/>
      </c>
      <c r="T2313">
        <f>IMAGE("https://mitra.stanford.edu/kundaje/oak/projects/neuro-variants/variant_position/credible/roussos_2024/variant_figures/roussos_2024.childhood.Astrocyte/rs11684942_profile_position.png",4,220,900)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-0.0321808196999999</v>
      </c>
      <c r="G2314" t="n">
        <v>0.411118587219817</v>
      </c>
      <c r="H2314" t="n">
        <v>0.0094776965565623</v>
      </c>
      <c r="I2314" t="n">
        <v>0.7748952743287466</v>
      </c>
      <c r="J2314" t="n">
        <v>0.0552647447199895</v>
      </c>
      <c r="K2314" t="n">
        <v>0.4336214410792922</v>
      </c>
      <c r="L2314" t="b">
        <v>0</v>
      </c>
      <c r="M2314" t="b">
        <v>0</v>
      </c>
      <c r="N2314" t="inlineStr">
        <is>
          <t>ref</t>
        </is>
      </c>
      <c r="O2314" t="n">
        <v>-45</v>
      </c>
      <c r="P2314" t="n">
        <v>0.04828</v>
      </c>
      <c r="Q2314" t="n">
        <v>95</v>
      </c>
      <c r="R2314" t="n">
        <v>0.2062</v>
      </c>
      <c r="S2314">
        <f>IMAGE("https://mitra.stanford.edu/kundaje/oak/projects/neuro-variants/variant_position/credible/roussos_2024/variant_figures/roussos_2024.childhood.Astrocyte/rs72932296_count_position.png",4,220,900)</f>
        <v/>
      </c>
      <c r="T2314">
        <f>IMAGE("https://mitra.stanford.edu/kundaje/oak/projects/neuro-variants/variant_position/credible/roussos_2024/variant_figures/roussos_2024.childhood.Astrocyte/rs72932296_profile_position.png",4,220,900)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-0.0071858160399999</v>
      </c>
      <c r="G2315" t="n">
        <v>0.6692227953715572</v>
      </c>
      <c r="H2315" t="n">
        <v>0.0139548356846071</v>
      </c>
      <c r="I2315" t="n">
        <v>0.3609459120866826</v>
      </c>
      <c r="J2315" t="n">
        <v>0.10880675963454</v>
      </c>
      <c r="K2315" t="n">
        <v>0.3094019100160272</v>
      </c>
      <c r="L2315" t="b">
        <v>0</v>
      </c>
      <c r="M2315" t="b">
        <v>0</v>
      </c>
      <c r="N2315" t="inlineStr">
        <is>
          <t>ref</t>
        </is>
      </c>
      <c r="O2315" t="n">
        <v>15</v>
      </c>
      <c r="P2315" t="n">
        <v>0.00868</v>
      </c>
      <c r="Q2315" t="n">
        <v>10</v>
      </c>
      <c r="R2315" t="n">
        <v>0.0902</v>
      </c>
      <c r="S2315">
        <f>IMAGE("https://mitra.stanford.edu/kundaje/oak/projects/neuro-variants/variant_position/credible/roussos_2024/variant_figures/roussos_2024.childhood.Astrocyte/rs1569178_count_position.png",4,220,900)</f>
        <v/>
      </c>
      <c r="T2315">
        <f>IMAGE("https://mitra.stanford.edu/kundaje/oak/projects/neuro-variants/variant_position/credible/roussos_2024/variant_figures/roussos_2024.childhood.Astrocyte/rs1569178_profile_position.png",4,220,900)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-0.0460192247999999</v>
      </c>
      <c r="G2316" t="n">
        <v>0.2472348829463404</v>
      </c>
      <c r="H2316" t="n">
        <v>0.0140110764216834</v>
      </c>
      <c r="I2316" t="n">
        <v>0.3578333358404795</v>
      </c>
      <c r="J2316" t="n">
        <v>0.0109836428446031</v>
      </c>
      <c r="K2316" t="n">
        <v>0.7056102128900248</v>
      </c>
      <c r="L2316" t="b">
        <v>0</v>
      </c>
      <c r="M2316" t="b">
        <v>0</v>
      </c>
      <c r="N2316" t="inlineStr">
        <is>
          <t>ref</t>
        </is>
      </c>
      <c r="O2316" t="n">
        <v>95</v>
      </c>
      <c r="P2316" t="n">
        <v>0.00656</v>
      </c>
      <c r="Q2316" t="n">
        <v>25</v>
      </c>
      <c r="R2316" t="n">
        <v>0.0423</v>
      </c>
      <c r="S2316">
        <f>IMAGE("https://mitra.stanford.edu/kundaje/oak/projects/neuro-variants/variant_position/credible/roussos_2024/variant_figures/roussos_2024.childhood.Astrocyte/rs11679676_count_position.png",4,220,900)</f>
        <v/>
      </c>
      <c r="T2316">
        <f>IMAGE("https://mitra.stanford.edu/kundaje/oak/projects/neuro-variants/variant_position/credible/roussos_2024/variant_figures/roussos_2024.childhood.Astrocyte/rs11679676_profile_position.png",4,220,900)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-0.0151552124</v>
      </c>
      <c r="G2317" t="n">
        <v>0.6306745401135939</v>
      </c>
      <c r="H2317" t="n">
        <v>0.0321126235857672</v>
      </c>
      <c r="I2317" t="n">
        <v>0.0229095704685283</v>
      </c>
      <c r="J2317" t="n">
        <v>0.053146634303466</v>
      </c>
      <c r="K2317" t="n">
        <v>0.4480583878714435</v>
      </c>
      <c r="L2317" t="b">
        <v>0</v>
      </c>
      <c r="M2317" t="b">
        <v>0</v>
      </c>
      <c r="N2317" t="inlineStr">
        <is>
          <t>ref</t>
        </is>
      </c>
      <c r="O2317" t="n">
        <v>-60</v>
      </c>
      <c r="P2317" t="n">
        <v>0.013916</v>
      </c>
      <c r="Q2317" t="n">
        <v>90</v>
      </c>
      <c r="R2317" t="n">
        <v>0.3447</v>
      </c>
      <c r="S2317">
        <f>IMAGE("https://mitra.stanford.edu/kundaje/oak/projects/neuro-variants/variant_position/credible/roussos_2024/variant_figures/roussos_2024.childhood.Astrocyte/rs55906940_count_position.png",4,220,900)</f>
        <v/>
      </c>
      <c r="T2317">
        <f>IMAGE("https://mitra.stanford.edu/kundaje/oak/projects/neuro-variants/variant_position/credible/roussos_2024/variant_figures/roussos_2024.childhood.Astrocyte/rs55906940_profile_position.png",4,220,900)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0.0009858115799999</v>
      </c>
      <c r="G2318" t="n">
        <v>0.6245176898470405</v>
      </c>
      <c r="H2318" t="n">
        <v>0.0234283746790484</v>
      </c>
      <c r="I2318" t="n">
        <v>0.07424434189561339</v>
      </c>
      <c r="J2318" t="n">
        <v>5.113996320975548e-05</v>
      </c>
      <c r="K2318" t="n">
        <v>0.9941748940102882</v>
      </c>
      <c r="L2318" t="b">
        <v>0</v>
      </c>
      <c r="M2318" t="b">
        <v>0</v>
      </c>
      <c r="N2318" t="inlineStr">
        <is>
          <t>alt</t>
        </is>
      </c>
      <c r="O2318" t="n">
        <v>-85</v>
      </c>
      <c r="P2318" t="n">
        <v>0.005035</v>
      </c>
      <c r="Q2318" t="n">
        <v>-100</v>
      </c>
      <c r="R2318" t="n">
        <v>0.08466</v>
      </c>
      <c r="S2318">
        <f>IMAGE("https://mitra.stanford.edu/kundaje/oak/projects/neuro-variants/variant_position/credible/roussos_2024/variant_figures/roussos_2024.childhood.Astrocyte/rs149828043_count_position.png",4,220,900)</f>
        <v/>
      </c>
      <c r="T2318">
        <f>IMAGE("https://mitra.stanford.edu/kundaje/oak/projects/neuro-variants/variant_position/credible/roussos_2024/variant_figures/roussos_2024.childhood.Astrocyte/rs149828043_profile_position.png",4,220,900)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-0.008113256399999999</v>
      </c>
      <c r="G2319" t="n">
        <v>0.7210844009825975</v>
      </c>
      <c r="H2319" t="n">
        <v>0.0318312533020268</v>
      </c>
      <c r="I2319" t="n">
        <v>0.0242224284087746</v>
      </c>
      <c r="J2319" t="n">
        <v>0.0392800714432918</v>
      </c>
      <c r="K2319" t="n">
        <v>0.4883542469643755</v>
      </c>
      <c r="L2319" t="b">
        <v>0</v>
      </c>
      <c r="M2319" t="b">
        <v>0</v>
      </c>
      <c r="N2319" t="inlineStr">
        <is>
          <t>ref</t>
        </is>
      </c>
      <c r="O2319" t="n">
        <v>-30</v>
      </c>
      <c r="P2319" t="n">
        <v>0.003906</v>
      </c>
      <c r="Q2319" t="n">
        <v>-85</v>
      </c>
      <c r="R2319" t="n">
        <v>0.105</v>
      </c>
      <c r="S2319">
        <f>IMAGE("https://mitra.stanford.edu/kundaje/oak/projects/neuro-variants/variant_position/credible/roussos_2024/variant_figures/roussos_2024.childhood.Astrocyte/rs77089299_count_position.png",4,220,900)</f>
        <v/>
      </c>
      <c r="T2319">
        <f>IMAGE("https://mitra.stanford.edu/kundaje/oak/projects/neuro-variants/variant_position/credible/roussos_2024/variant_figures/roussos_2024.childhood.Astrocyte/rs77089299_profile_position.png",4,220,900)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0.0998815884</v>
      </c>
      <c r="G2320" t="n">
        <v>0.111302576986172</v>
      </c>
      <c r="H2320" t="n">
        <v>0.0138641006568734</v>
      </c>
      <c r="I2320" t="n">
        <v>0.3623920348245144</v>
      </c>
      <c r="J2320" t="n">
        <v>0.0076305404807156</v>
      </c>
      <c r="K2320" t="n">
        <v>0.7319672912154921</v>
      </c>
      <c r="L2320" t="b">
        <v>0</v>
      </c>
      <c r="M2320" t="b">
        <v>0</v>
      </c>
      <c r="N2320" t="inlineStr">
        <is>
          <t>alt</t>
        </is>
      </c>
      <c r="O2320" t="n">
        <v>-100</v>
      </c>
      <c r="P2320" t="n">
        <v>0.004482</v>
      </c>
      <c r="Q2320" t="n">
        <v>50</v>
      </c>
      <c r="R2320" t="n">
        <v>0.02805</v>
      </c>
      <c r="S2320">
        <f>IMAGE("https://mitra.stanford.edu/kundaje/oak/projects/neuro-variants/variant_position/credible/roussos_2024/variant_figures/roussos_2024.childhood.Astrocyte/rs66621598_count_position.png",4,220,900)</f>
        <v/>
      </c>
      <c r="T2320">
        <f>IMAGE("https://mitra.stanford.edu/kundaje/oak/projects/neuro-variants/variant_position/credible/roussos_2024/variant_figures/roussos_2024.childhood.Astrocyte/rs66621598_profile_position.png",4,220,900)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-0.000809789792</v>
      </c>
      <c r="G2321" t="n">
        <v>0.7642574082698027</v>
      </c>
      <c r="H2321" t="n">
        <v>0.031575356366411</v>
      </c>
      <c r="I2321" t="n">
        <v>0.0242953714856027</v>
      </c>
      <c r="J2321" t="n">
        <v>0.0213421568851945</v>
      </c>
      <c r="K2321" t="n">
        <v>0.5833091176881663</v>
      </c>
      <c r="L2321" t="b">
        <v>0</v>
      </c>
      <c r="M2321" t="b">
        <v>0</v>
      </c>
      <c r="N2321" t="inlineStr">
        <is>
          <t>ref</t>
        </is>
      </c>
      <c r="O2321" t="n">
        <v>0</v>
      </c>
      <c r="P2321" t="n">
        <v>0</v>
      </c>
      <c r="Q2321" t="n">
        <v>100</v>
      </c>
      <c r="R2321" t="n">
        <v>0.0597</v>
      </c>
      <c r="S2321">
        <f>IMAGE("https://mitra.stanford.edu/kundaje/oak/projects/neuro-variants/variant_position/credible/roussos_2024/variant_figures/roussos_2024.childhood.Astrocyte/rs4673871_count_position.png",4,220,900)</f>
        <v/>
      </c>
      <c r="T2321">
        <f>IMAGE("https://mitra.stanford.edu/kundaje/oak/projects/neuro-variants/variant_position/credible/roussos_2024/variant_figures/roussos_2024.childhood.Astrocyte/rs4673871_profile_position.png",4,220,900)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0.02268715006</v>
      </c>
      <c r="G2322" t="n">
        <v>0.4826242188598145</v>
      </c>
      <c r="H2322" t="n">
        <v>0.007677947951642</v>
      </c>
      <c r="I2322" t="n">
        <v>0.9293255484278764</v>
      </c>
      <c r="J2322" t="n">
        <v>0.0314816086953202</v>
      </c>
      <c r="K2322" t="n">
        <v>0.5203405154156621</v>
      </c>
      <c r="L2322" t="b">
        <v>0</v>
      </c>
      <c r="M2322" t="b">
        <v>0</v>
      </c>
      <c r="N2322" t="inlineStr">
        <is>
          <t>alt</t>
        </is>
      </c>
      <c r="O2322" t="n">
        <v>-75</v>
      </c>
      <c r="P2322" t="n">
        <v>0.01749</v>
      </c>
      <c r="Q2322" t="n">
        <v>40</v>
      </c>
      <c r="R2322" t="n">
        <v>0.0362</v>
      </c>
      <c r="S2322">
        <f>IMAGE("https://mitra.stanford.edu/kundaje/oak/projects/neuro-variants/variant_position/credible/roussos_2024/variant_figures/roussos_2024.childhood.Astrocyte/rs11688415_count_position.png",4,220,900)</f>
        <v/>
      </c>
      <c r="T2322">
        <f>IMAGE("https://mitra.stanford.edu/kundaje/oak/projects/neuro-variants/variant_position/credible/roussos_2024/variant_figures/roussos_2024.childhood.Astrocyte/rs11688415_profile_position.png",4,220,900)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-0.1399219326</v>
      </c>
      <c r="G2323" t="n">
        <v>0.0616582947582951</v>
      </c>
      <c r="H2323" t="n">
        <v>0.0213407136404519</v>
      </c>
      <c r="I2323" t="n">
        <v>0.1247711100861679</v>
      </c>
      <c r="J2323" t="n">
        <v>0.0964530237457351</v>
      </c>
      <c r="K2323" t="n">
        <v>0.3285634626503371</v>
      </c>
      <c r="L2323" t="b">
        <v>0</v>
      </c>
      <c r="M2323" t="b">
        <v>0</v>
      </c>
      <c r="N2323" t="inlineStr">
        <is>
          <t>ref</t>
        </is>
      </c>
      <c r="O2323" t="n">
        <v>55</v>
      </c>
      <c r="P2323" t="n">
        <v>0.003609</v>
      </c>
      <c r="Q2323" t="n">
        <v>-100</v>
      </c>
      <c r="R2323" t="n">
        <v>0.06322999999999999</v>
      </c>
      <c r="S2323">
        <f>IMAGE("https://mitra.stanford.edu/kundaje/oak/projects/neuro-variants/variant_position/credible/roussos_2024/variant_figures/roussos_2024.childhood.Astrocyte/rs55826210_count_position.png",4,220,900)</f>
        <v/>
      </c>
      <c r="T2323">
        <f>IMAGE("https://mitra.stanford.edu/kundaje/oak/projects/neuro-variants/variant_position/credible/roussos_2024/variant_figures/roussos_2024.childhood.Astrocyte/rs55826210_profile_position.png",4,220,900)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-0.00658193636</v>
      </c>
      <c r="G2324" t="n">
        <v>0.7203672775830608</v>
      </c>
      <c r="H2324" t="n">
        <v>0.0216095932750259</v>
      </c>
      <c r="I2324" t="n">
        <v>0.0972727308299063</v>
      </c>
      <c r="J2324" t="n">
        <v>0.0483623762527382</v>
      </c>
      <c r="K2324" t="n">
        <v>0.4538781836428673</v>
      </c>
      <c r="L2324" t="b">
        <v>0</v>
      </c>
      <c r="M2324" t="b">
        <v>0</v>
      </c>
      <c r="N2324" t="inlineStr">
        <is>
          <t>ref</t>
        </is>
      </c>
      <c r="O2324" t="n">
        <v>100</v>
      </c>
      <c r="P2324" t="n">
        <v>0.01074</v>
      </c>
      <c r="Q2324" t="n">
        <v>100</v>
      </c>
      <c r="R2324" t="n">
        <v>0.131</v>
      </c>
      <c r="S2324">
        <f>IMAGE("https://mitra.stanford.edu/kundaje/oak/projects/neuro-variants/variant_position/credible/roussos_2024/variant_figures/roussos_2024.childhood.Astrocyte/rs1436162_count_position.png",4,220,900)</f>
        <v/>
      </c>
      <c r="T2324">
        <f>IMAGE("https://mitra.stanford.edu/kundaje/oak/projects/neuro-variants/variant_position/credible/roussos_2024/variant_figures/roussos_2024.childhood.Astrocyte/rs1436162_profile_position.png",4,220,900)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-0.1651511898</v>
      </c>
      <c r="G2325" t="n">
        <v>0.0368455254687894</v>
      </c>
      <c r="H2325" t="n">
        <v>0.0359390061171546</v>
      </c>
      <c r="I2325" t="n">
        <v>0.0230477058041467</v>
      </c>
      <c r="J2325" t="n">
        <v>0.2766046117560853</v>
      </c>
      <c r="K2325" t="n">
        <v>0.1455845740253943</v>
      </c>
      <c r="L2325" t="b">
        <v>0</v>
      </c>
      <c r="M2325" t="b">
        <v>0</v>
      </c>
      <c r="N2325" t="inlineStr">
        <is>
          <t>ref</t>
        </is>
      </c>
      <c r="O2325" t="n">
        <v>-85</v>
      </c>
      <c r="P2325" t="n">
        <v>0.01746</v>
      </c>
      <c r="Q2325" t="n">
        <v>-85</v>
      </c>
      <c r="R2325" t="n">
        <v>0.1309</v>
      </c>
      <c r="S2325">
        <f>IMAGE("https://mitra.stanford.edu/kundaje/oak/projects/neuro-variants/variant_position/credible/roussos_2024/variant_figures/roussos_2024.childhood.Astrocyte/rs3769481_count_position.png",4,220,900)</f>
        <v/>
      </c>
      <c r="T2325">
        <f>IMAGE("https://mitra.stanford.edu/kundaje/oak/projects/neuro-variants/variant_position/credible/roussos_2024/variant_figures/roussos_2024.childhood.Astrocyte/rs3769481_profile_position.png",4,220,900)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0.351928852</v>
      </c>
      <c r="G2326" t="n">
        <v>0.0040850194621863</v>
      </c>
      <c r="H2326" t="n">
        <v>0.0435593638612826</v>
      </c>
      <c r="I2326" t="n">
        <v>0.0084208248510444</v>
      </c>
      <c r="J2326" t="n">
        <v>0.2943753673299596</v>
      </c>
      <c r="K2326" t="n">
        <v>0.1347547805288613</v>
      </c>
      <c r="L2326" t="b">
        <v>1</v>
      </c>
      <c r="M2326" t="b">
        <v>1</v>
      </c>
      <c r="N2326" t="inlineStr">
        <is>
          <t>alt</t>
        </is>
      </c>
      <c r="O2326" t="n">
        <v>25</v>
      </c>
      <c r="P2326" t="n">
        <v>0.002502</v>
      </c>
      <c r="Q2326" t="n">
        <v>25</v>
      </c>
      <c r="R2326" t="n">
        <v>0.05713</v>
      </c>
      <c r="S2326">
        <f>IMAGE("https://mitra.stanford.edu/kundaje/oak/projects/neuro-variants/variant_position/credible/roussos_2024/variant_figures/roussos_2024.childhood.Astrocyte/rs17592552_count_position.png",4,220,900)</f>
        <v/>
      </c>
      <c r="T2326">
        <f>IMAGE("https://mitra.stanford.edu/kundaje/oak/projects/neuro-variants/variant_position/credible/roussos_2024/variant_figures/roussos_2024.childhood.Astrocyte/rs17592552_profile_position.png",4,220,900)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-0.025906109</v>
      </c>
      <c r="G2327" t="n">
        <v>0.4393990472356576</v>
      </c>
      <c r="H2327" t="n">
        <v>0.008548183118363801</v>
      </c>
      <c r="I2327" t="n">
        <v>0.8583158930739235</v>
      </c>
      <c r="J2327" t="n">
        <v>0.0440559333806568</v>
      </c>
      <c r="K2327" t="n">
        <v>0.4773937601814174</v>
      </c>
      <c r="L2327" t="b">
        <v>0</v>
      </c>
      <c r="M2327" t="b">
        <v>0</v>
      </c>
      <c r="N2327" t="inlineStr">
        <is>
          <t>ref</t>
        </is>
      </c>
      <c r="O2327" t="n">
        <v>50</v>
      </c>
      <c r="P2327" t="n">
        <v>0.00372</v>
      </c>
      <c r="Q2327" t="n">
        <v>-50</v>
      </c>
      <c r="R2327" t="n">
        <v>0.0876</v>
      </c>
      <c r="S2327">
        <f>IMAGE("https://mitra.stanford.edu/kundaje/oak/projects/neuro-variants/variant_position/credible/roussos_2024/variant_figures/roussos_2024.childhood.Astrocyte/rs67067836_count_position.png",4,220,900)</f>
        <v/>
      </c>
      <c r="T2327">
        <f>IMAGE("https://mitra.stanford.edu/kundaje/oak/projects/neuro-variants/variant_position/credible/roussos_2024/variant_figures/roussos_2024.childhood.Astrocyte/rs67067836_profile_position.png",4,220,900)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0.02108335074</v>
      </c>
      <c r="G2328" t="n">
        <v>0.4974274390535513</v>
      </c>
      <c r="H2328" t="n">
        <v>0.0156707477118429</v>
      </c>
      <c r="I2328" t="n">
        <v>0.267340111757382</v>
      </c>
      <c r="J2328" t="n">
        <v>0.0219001167823039</v>
      </c>
      <c r="K2328" t="n">
        <v>0.5805409189741483</v>
      </c>
      <c r="L2328" t="b">
        <v>0</v>
      </c>
      <c r="M2328" t="b">
        <v>0</v>
      </c>
      <c r="N2328" t="inlineStr">
        <is>
          <t>alt</t>
        </is>
      </c>
      <c r="O2328" t="n">
        <v>-55</v>
      </c>
      <c r="P2328" t="n">
        <v>0.005775</v>
      </c>
      <c r="Q2328" t="n">
        <v>90</v>
      </c>
      <c r="R2328" t="n">
        <v>0.10315</v>
      </c>
      <c r="S2328">
        <f>IMAGE("https://mitra.stanford.edu/kundaje/oak/projects/neuro-variants/variant_position/credible/roussos_2024/variant_figures/roussos_2024.childhood.Astrocyte/rs3769474_count_position.png",4,220,900)</f>
        <v/>
      </c>
      <c r="T2328">
        <f>IMAGE("https://mitra.stanford.edu/kundaje/oak/projects/neuro-variants/variant_position/credible/roussos_2024/variant_figures/roussos_2024.childhood.Astrocyte/rs3769474_profile_position.png",4,220,900)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-0.5812554480000001</v>
      </c>
      <c r="G2329" t="n">
        <v>0.0007648999874161</v>
      </c>
      <c r="H2329" t="n">
        <v>0.0532137731905543</v>
      </c>
      <c r="I2329" t="n">
        <v>0.0035171071410481</v>
      </c>
      <c r="J2329" t="n">
        <v>0.211360704662896</v>
      </c>
      <c r="K2329" t="n">
        <v>0.1922823256513586</v>
      </c>
      <c r="L2329" t="b">
        <v>1</v>
      </c>
      <c r="M2329" t="b">
        <v>1</v>
      </c>
      <c r="N2329" t="inlineStr">
        <is>
          <t>ref</t>
        </is>
      </c>
      <c r="O2329" t="n">
        <v>-90</v>
      </c>
      <c r="P2329" t="n">
        <v>0.02377</v>
      </c>
      <c r="Q2329" t="n">
        <v>-90</v>
      </c>
      <c r="R2329" t="n">
        <v>0.2485</v>
      </c>
      <c r="S2329">
        <f>IMAGE("https://mitra.stanford.edu/kundaje/oak/projects/neuro-variants/variant_position/credible/roussos_2024/variant_figures/roussos_2024.childhood.Astrocyte/rs295127_count_position.png",4,220,900)</f>
        <v/>
      </c>
      <c r="T2329">
        <f>IMAGE("https://mitra.stanford.edu/kundaje/oak/projects/neuro-variants/variant_position/credible/roussos_2024/variant_figures/roussos_2024.childhood.Astrocyte/rs295127_profile_position.png",4,220,900)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-0.0412674256</v>
      </c>
      <c r="G2330" t="n">
        <v>0.287156037204945</v>
      </c>
      <c r="H2330" t="n">
        <v>0.0116184313337339</v>
      </c>
      <c r="I2330" t="n">
        <v>0.544114937810302</v>
      </c>
      <c r="J2330" t="n">
        <v>0.0530954943402562</v>
      </c>
      <c r="K2330" t="n">
        <v>0.4403267590105069</v>
      </c>
      <c r="L2330" t="b">
        <v>0</v>
      </c>
      <c r="M2330" t="b">
        <v>0</v>
      </c>
      <c r="N2330" t="inlineStr">
        <is>
          <t>ref</t>
        </is>
      </c>
      <c r="O2330" t="n">
        <v>-100</v>
      </c>
      <c r="P2330" t="n">
        <v>0.00328</v>
      </c>
      <c r="Q2330" t="n">
        <v>20</v>
      </c>
      <c r="R2330" t="n">
        <v>0.02539</v>
      </c>
      <c r="S2330">
        <f>IMAGE("https://mitra.stanford.edu/kundaje/oak/projects/neuro-variants/variant_position/credible/roussos_2024/variant_figures/roussos_2024.childhood.Astrocyte/rs78412932_count_position.png",4,220,900)</f>
        <v/>
      </c>
      <c r="T2330">
        <f>IMAGE("https://mitra.stanford.edu/kundaje/oak/projects/neuro-variants/variant_position/credible/roussos_2024/variant_figures/roussos_2024.childhood.Astrocyte/rs78412932_profile_position.png",4,220,900)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-0.0167378304</v>
      </c>
      <c r="G2331" t="n">
        <v>0.5812406354502128</v>
      </c>
      <c r="H2331" t="n">
        <v>0.0177900281374167</v>
      </c>
      <c r="I2331" t="n">
        <v>0.1800415613736071</v>
      </c>
      <c r="J2331" t="n">
        <v>0.0105874989504857</v>
      </c>
      <c r="K2331" t="n">
        <v>0.6924105670740769</v>
      </c>
      <c r="L2331" t="b">
        <v>0</v>
      </c>
      <c r="M2331" t="b">
        <v>0</v>
      </c>
      <c r="N2331" t="inlineStr">
        <is>
          <t>ref</t>
        </is>
      </c>
      <c r="O2331" t="n">
        <v>-25</v>
      </c>
      <c r="P2331" t="n">
        <v>0.0035</v>
      </c>
      <c r="Q2331" t="n">
        <v>85</v>
      </c>
      <c r="R2331" t="n">
        <v>0.1486</v>
      </c>
      <c r="S2331">
        <f>IMAGE("https://mitra.stanford.edu/kundaje/oak/projects/neuro-variants/variant_position/credible/roussos_2024/variant_figures/roussos_2024.childhood.Astrocyte/rs295130_count_position.png",4,220,900)</f>
        <v/>
      </c>
      <c r="T2331">
        <f>IMAGE("https://mitra.stanford.edu/kundaje/oak/projects/neuro-variants/variant_position/credible/roussos_2024/variant_figures/roussos_2024.childhood.Astrocyte/rs295130_profile_position.png",4,220,900)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0.02385853726</v>
      </c>
      <c r="G2332" t="n">
        <v>0.4649450855870545</v>
      </c>
      <c r="H2332" t="n">
        <v>0.02403449030967</v>
      </c>
      <c r="I2332" t="n">
        <v>0.0679234482063623</v>
      </c>
      <c r="J2332" t="n">
        <v>0.0566730019158403</v>
      </c>
      <c r="K2332" t="n">
        <v>0.4192546913956237</v>
      </c>
      <c r="L2332" t="b">
        <v>0</v>
      </c>
      <c r="M2332" t="b">
        <v>0</v>
      </c>
      <c r="N2332" t="inlineStr">
        <is>
          <t>alt</t>
        </is>
      </c>
      <c r="O2332" t="n">
        <v>10</v>
      </c>
      <c r="P2332" t="n">
        <v>0.001083</v>
      </c>
      <c r="Q2332" t="n">
        <v>20</v>
      </c>
      <c r="R2332" t="n">
        <v>0.05103</v>
      </c>
      <c r="S2332">
        <f>IMAGE("https://mitra.stanford.edu/kundaje/oak/projects/neuro-variants/variant_position/credible/roussos_2024/variant_figures/roussos_2024.childhood.Astrocyte/rs296789_count_position.png",4,220,900)</f>
        <v/>
      </c>
      <c r="T2332">
        <f>IMAGE("https://mitra.stanford.edu/kundaje/oak/projects/neuro-variants/variant_position/credible/roussos_2024/variant_figures/roussos_2024.childhood.Astrocyte/rs296789_profile_position.png",4,220,900)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-0.0163241913</v>
      </c>
      <c r="G2333" t="n">
        <v>0.6059341461003583</v>
      </c>
      <c r="H2333" t="n">
        <v>0.0296584989846903</v>
      </c>
      <c r="I2333" t="n">
        <v>0.0318614131911339</v>
      </c>
      <c r="J2333" t="n">
        <v>0.0038874004869745</v>
      </c>
      <c r="K2333" t="n">
        <v>0.8005854465764151</v>
      </c>
      <c r="L2333" t="b">
        <v>0</v>
      </c>
      <c r="M2333" t="b">
        <v>0</v>
      </c>
      <c r="N2333" t="inlineStr">
        <is>
          <t>ref</t>
        </is>
      </c>
      <c r="O2333" t="n">
        <v>-80</v>
      </c>
      <c r="P2333" t="n">
        <v>0.01193</v>
      </c>
      <c r="Q2333" t="n">
        <v>85</v>
      </c>
      <c r="R2333" t="n">
        <v>0.09503</v>
      </c>
      <c r="S2333">
        <f>IMAGE("https://mitra.stanford.edu/kundaje/oak/projects/neuro-variants/variant_position/credible/roussos_2024/variant_figures/roussos_2024.childhood.Astrocyte/rs3769459_count_position.png",4,220,900)</f>
        <v/>
      </c>
      <c r="T2333">
        <f>IMAGE("https://mitra.stanford.edu/kundaje/oak/projects/neuro-variants/variant_position/credible/roussos_2024/variant_figures/roussos_2024.childhood.Astrocyte/rs3769459_profile_position.png",4,220,900)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-0.0005743765</v>
      </c>
      <c r="G2334" t="n">
        <v>0.8484386404491407</v>
      </c>
      <c r="H2334" t="n">
        <v>0.0306558087484896</v>
      </c>
      <c r="I2334" t="n">
        <v>0.0275869225941767</v>
      </c>
      <c r="J2334" t="n">
        <v>0.000904490394083</v>
      </c>
      <c r="K2334" t="n">
        <v>0.921689267374068</v>
      </c>
      <c r="L2334" t="b">
        <v>0</v>
      </c>
      <c r="M2334" t="b">
        <v>0</v>
      </c>
      <c r="N2334" t="inlineStr">
        <is>
          <t>ref</t>
        </is>
      </c>
      <c r="O2334" t="n">
        <v>-45</v>
      </c>
      <c r="P2334" t="n">
        <v>0.015045</v>
      </c>
      <c r="Q2334" t="n">
        <v>85</v>
      </c>
      <c r="R2334" t="n">
        <v>0.0443</v>
      </c>
      <c r="S2334">
        <f>IMAGE("https://mitra.stanford.edu/kundaje/oak/projects/neuro-variants/variant_position/credible/roussos_2024/variant_figures/roussos_2024.childhood.Astrocyte/rs3791705_count_position.png",4,220,900)</f>
        <v/>
      </c>
      <c r="T2334">
        <f>IMAGE("https://mitra.stanford.edu/kundaje/oak/projects/neuro-variants/variant_position/credible/roussos_2024/variant_figures/roussos_2024.childhood.Astrocyte/rs3791705_profile_position.png",4,220,900)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0.00225324606</v>
      </c>
      <c r="G2335" t="n">
        <v>0.8202460854057677</v>
      </c>
      <c r="H2335" t="n">
        <v>0.028972245131377</v>
      </c>
      <c r="I2335" t="n">
        <v>0.0337180998390136</v>
      </c>
      <c r="J2335" t="n">
        <v>0.0109195270698327</v>
      </c>
      <c r="K2335" t="n">
        <v>0.6901257996138531</v>
      </c>
      <c r="L2335" t="b">
        <v>0</v>
      </c>
      <c r="M2335" t="b">
        <v>0</v>
      </c>
      <c r="N2335" t="inlineStr">
        <is>
          <t>alt</t>
        </is>
      </c>
      <c r="O2335" t="n">
        <v>0</v>
      </c>
      <c r="P2335" t="n">
        <v>0</v>
      </c>
      <c r="Q2335" t="n">
        <v>40</v>
      </c>
      <c r="R2335" t="n">
        <v>0.09155000000000001</v>
      </c>
      <c r="S2335">
        <f>IMAGE("https://mitra.stanford.edu/kundaje/oak/projects/neuro-variants/variant_position/credible/roussos_2024/variant_figures/roussos_2024.childhood.Astrocyte/rs6738323_count_position.png",4,220,900)</f>
        <v/>
      </c>
      <c r="T2335">
        <f>IMAGE("https://mitra.stanford.edu/kundaje/oak/projects/neuro-variants/variant_position/credible/roussos_2024/variant_figures/roussos_2024.childhood.Astrocyte/rs6738323_profile_position.png",4,220,900)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-0.17986204</v>
      </c>
      <c r="G2336" t="n">
        <v>0.0231846123653551</v>
      </c>
      <c r="H2336" t="n">
        <v>0.0313203577512237</v>
      </c>
      <c r="I2336" t="n">
        <v>0.0288118837263433</v>
      </c>
      <c r="J2336" t="n">
        <v>0.8674123941898897</v>
      </c>
      <c r="K2336" t="n">
        <v>0.0035688997316528</v>
      </c>
      <c r="L2336" t="b">
        <v>0</v>
      </c>
      <c r="M2336" t="b">
        <v>0</v>
      </c>
      <c r="N2336" t="inlineStr">
        <is>
          <t>ref</t>
        </is>
      </c>
      <c r="O2336" t="n">
        <v>-95</v>
      </c>
      <c r="P2336" t="n">
        <v>0.06945999999999999</v>
      </c>
      <c r="Q2336" t="n">
        <v>-95</v>
      </c>
      <c r="R2336" t="n">
        <v>0.2886</v>
      </c>
      <c r="S2336">
        <f>IMAGE("https://mitra.stanford.edu/kundaje/oak/projects/neuro-variants/variant_position/credible/roussos_2024/variant_figures/roussos_2024.childhood.Astrocyte/rs1384292_count_position.png",4,220,900)</f>
        <v/>
      </c>
      <c r="T2336">
        <f>IMAGE("https://mitra.stanford.edu/kundaje/oak/projects/neuro-variants/variant_position/credible/roussos_2024/variant_figures/roussos_2024.childhood.Astrocyte/rs1384292_profile_position.png",4,220,900)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-0.0816437602</v>
      </c>
      <c r="G2337" t="n">
        <v>0.1073632700724949</v>
      </c>
      <c r="H2337" t="n">
        <v>0.0175882740685123</v>
      </c>
      <c r="I2337" t="n">
        <v>0.1872830100314091</v>
      </c>
      <c r="J2337" t="n">
        <v>0.9093257920969676</v>
      </c>
      <c r="K2337" t="n">
        <v>0.0015793490560259</v>
      </c>
      <c r="L2337" t="b">
        <v>0</v>
      </c>
      <c r="M2337" t="b">
        <v>0</v>
      </c>
      <c r="N2337" t="inlineStr">
        <is>
          <t>ref</t>
        </is>
      </c>
      <c r="O2337" t="n">
        <v>-30</v>
      </c>
      <c r="P2337" t="n">
        <v>0.003662</v>
      </c>
      <c r="Q2337" t="n">
        <v>-40</v>
      </c>
      <c r="R2337" t="n">
        <v>0.1611</v>
      </c>
      <c r="S2337">
        <f>IMAGE("https://mitra.stanford.edu/kundaje/oak/projects/neuro-variants/variant_position/credible/roussos_2024/variant_figures/roussos_2024.childhood.Astrocyte/rs6735626_count_position.png",4,220,900)</f>
        <v/>
      </c>
      <c r="T2337">
        <f>IMAGE("https://mitra.stanford.edu/kundaje/oak/projects/neuro-variants/variant_position/credible/roussos_2024/variant_figures/roussos_2024.childhood.Astrocyte/rs6735626_profile_position.png",4,220,900)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0.09398060799999999</v>
      </c>
      <c r="G2338" t="n">
        <v>0.0873341449329464</v>
      </c>
      <c r="H2338" t="n">
        <v>0.0126789408272177</v>
      </c>
      <c r="I2338" t="n">
        <v>0.4383487788341522</v>
      </c>
      <c r="J2338" t="n">
        <v>0.3538702266187324</v>
      </c>
      <c r="K2338" t="n">
        <v>0.1062062820993165</v>
      </c>
      <c r="L2338" t="b">
        <v>0</v>
      </c>
      <c r="M2338" t="b">
        <v>0</v>
      </c>
      <c r="N2338" t="inlineStr">
        <is>
          <t>alt</t>
        </is>
      </c>
      <c r="O2338" t="n">
        <v>-100</v>
      </c>
      <c r="P2338" t="n">
        <v>0.01741</v>
      </c>
      <c r="Q2338" t="n">
        <v>-65</v>
      </c>
      <c r="R2338" t="n">
        <v>0.01477</v>
      </c>
      <c r="S2338">
        <f>IMAGE("https://mitra.stanford.edu/kundaje/oak/projects/neuro-variants/variant_position/credible/roussos_2024/variant_figures/roussos_2024.childhood.Astrocyte/rs10182996_count_position.png",4,220,900)</f>
        <v/>
      </c>
      <c r="T2338">
        <f>IMAGE("https://mitra.stanford.edu/kundaje/oak/projects/neuro-variants/variant_position/credible/roussos_2024/variant_figures/roussos_2024.childhood.Astrocyte/rs10182996_profile_position.png",4,220,900)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-0.0246332779</v>
      </c>
      <c r="G2339" t="n">
        <v>0.4035360068475052</v>
      </c>
      <c r="H2339" t="n">
        <v>0.0102476775999929</v>
      </c>
      <c r="I2339" t="n">
        <v>0.6510425987277746</v>
      </c>
      <c r="J2339" t="n">
        <v>0.0912855976124506</v>
      </c>
      <c r="K2339" t="n">
        <v>0.342444344150942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0.02304</v>
      </c>
      <c r="Q2339" t="n">
        <v>5</v>
      </c>
      <c r="R2339" t="n">
        <v>0.01465</v>
      </c>
      <c r="S2339">
        <f>IMAGE("https://mitra.stanford.edu/kundaje/oak/projects/neuro-variants/variant_position/credible/roussos_2024/variant_figures/roussos_2024.childhood.Astrocyte/rs10207878_count_position.png",4,220,900)</f>
        <v/>
      </c>
      <c r="T2339">
        <f>IMAGE("https://mitra.stanford.edu/kundaje/oak/projects/neuro-variants/variant_position/credible/roussos_2024/variant_figures/roussos_2024.childhood.Astrocyte/rs10207878_profile_position.png",4,220,900)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-0.07896819920000001</v>
      </c>
      <c r="G2340" t="n">
        <v>0.1104698497234313</v>
      </c>
      <c r="H2340" t="n">
        <v>0.0230783128844628</v>
      </c>
      <c r="I2340" t="n">
        <v>0.0800390312358585</v>
      </c>
      <c r="J2340" t="n">
        <v>0.1244304000366375</v>
      </c>
      <c r="K2340" t="n">
        <v>0.2858464020909628</v>
      </c>
      <c r="L2340" t="b">
        <v>0</v>
      </c>
      <c r="M2340" t="b">
        <v>0</v>
      </c>
      <c r="N2340" t="inlineStr">
        <is>
          <t>ref</t>
        </is>
      </c>
      <c r="O2340" t="n">
        <v>60</v>
      </c>
      <c r="P2340" t="n">
        <v>0.00525</v>
      </c>
      <c r="Q2340" t="n">
        <v>55</v>
      </c>
      <c r="R2340" t="n">
        <v>0.1249</v>
      </c>
      <c r="S2340">
        <f>IMAGE("https://mitra.stanford.edu/kundaje/oak/projects/neuro-variants/variant_position/credible/roussos_2024/variant_figures/roussos_2024.childhood.Astrocyte/rs1523921_count_position.png",4,220,900)</f>
        <v/>
      </c>
      <c r="T2340">
        <f>IMAGE("https://mitra.stanford.edu/kundaje/oak/projects/neuro-variants/variant_position/credible/roussos_2024/variant_figures/roussos_2024.childhood.Astrocyte/rs1523921_profile_position.png",4,220,900)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-0.0066580195</v>
      </c>
      <c r="G2341" t="n">
        <v>0.8185192389550504</v>
      </c>
      <c r="H2341" t="n">
        <v>0.0224580511264994</v>
      </c>
      <c r="I2341" t="n">
        <v>0.08552050959380469</v>
      </c>
      <c r="J2341" t="n">
        <v>0.0281735400303786</v>
      </c>
      <c r="K2341" t="n">
        <v>0.5398544969309722</v>
      </c>
      <c r="L2341" t="b">
        <v>0</v>
      </c>
      <c r="M2341" t="b">
        <v>0</v>
      </c>
      <c r="N2341" t="inlineStr">
        <is>
          <t>ref</t>
        </is>
      </c>
      <c r="O2341" t="n">
        <v>25</v>
      </c>
      <c r="P2341" t="n">
        <v>0.005577</v>
      </c>
      <c r="Q2341" t="n">
        <v>85</v>
      </c>
      <c r="R2341" t="n">
        <v>0.05313</v>
      </c>
      <c r="S2341">
        <f>IMAGE("https://mitra.stanford.edu/kundaje/oak/projects/neuro-variants/variant_position/credible/roussos_2024/variant_figures/roussos_2024.childhood.Astrocyte/rs12470077_count_position.png",4,220,900)</f>
        <v/>
      </c>
      <c r="T2341">
        <f>IMAGE("https://mitra.stanford.edu/kundaje/oak/projects/neuro-variants/variant_position/credible/roussos_2024/variant_figures/roussos_2024.childhood.Astrocyte/rs12470077_profile_position.png",4,220,900)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-0.0158525962</v>
      </c>
      <c r="G2342" t="n">
        <v>0.4705028176253989</v>
      </c>
      <c r="H2342" t="n">
        <v>0.0109484646381705</v>
      </c>
      <c r="I2342" t="n">
        <v>0.6139752800737597</v>
      </c>
      <c r="J2342" t="n">
        <v>0.0198568081030126</v>
      </c>
      <c r="K2342" t="n">
        <v>0.6086427113405488</v>
      </c>
      <c r="L2342" t="b">
        <v>0</v>
      </c>
      <c r="M2342" t="b">
        <v>0</v>
      </c>
      <c r="N2342" t="inlineStr">
        <is>
          <t>ref</t>
        </is>
      </c>
      <c r="O2342" t="n">
        <v>-100</v>
      </c>
      <c r="P2342" t="n">
        <v>0.003666</v>
      </c>
      <c r="Q2342" t="n">
        <v>-90</v>
      </c>
      <c r="R2342" t="n">
        <v>0.07439999999999999</v>
      </c>
      <c r="S2342">
        <f>IMAGE("https://mitra.stanford.edu/kundaje/oak/projects/neuro-variants/variant_position/credible/roussos_2024/variant_figures/roussos_2024.childhood.Astrocyte/rs147137183_count_position.png",4,220,900)</f>
        <v/>
      </c>
      <c r="T2342">
        <f>IMAGE("https://mitra.stanford.edu/kundaje/oak/projects/neuro-variants/variant_position/credible/roussos_2024/variant_figures/roussos_2024.childhood.Astrocyte/rs147137183_profile_position.png",4,220,900)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-0.0021736403599999</v>
      </c>
      <c r="G2343" t="n">
        <v>0.752714605272399</v>
      </c>
      <c r="H2343" t="n">
        <v>0.0328840400900201</v>
      </c>
      <c r="I2343" t="n">
        <v>0.0207648576048273</v>
      </c>
      <c r="J2343" t="n">
        <v>0.0027462923526672</v>
      </c>
      <c r="K2343" t="n">
        <v>0.8334563125952316</v>
      </c>
      <c r="L2343" t="b">
        <v>0</v>
      </c>
      <c r="M2343" t="b">
        <v>0</v>
      </c>
      <c r="N2343" t="inlineStr">
        <is>
          <t>ref</t>
        </is>
      </c>
      <c r="O2343" t="n">
        <v>-60</v>
      </c>
      <c r="P2343" t="n">
        <v>0.01874</v>
      </c>
      <c r="Q2343" t="n">
        <v>35</v>
      </c>
      <c r="R2343" t="n">
        <v>0.052</v>
      </c>
      <c r="S2343">
        <f>IMAGE("https://mitra.stanford.edu/kundaje/oak/projects/neuro-variants/variant_position/credible/roussos_2024/variant_figures/roussos_2024.childhood.Astrocyte/rs72974238_count_position.png",4,220,900)</f>
        <v/>
      </c>
      <c r="T2343">
        <f>IMAGE("https://mitra.stanford.edu/kundaje/oak/projects/neuro-variants/variant_position/credible/roussos_2024/variant_figures/roussos_2024.childhood.Astrocyte/rs72974238_profile_position.png",4,220,900)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-0.0194548892</v>
      </c>
      <c r="G2344" t="n">
        <v>0.5338188974716016</v>
      </c>
      <c r="H2344" t="n">
        <v>0.0376832824517172</v>
      </c>
      <c r="I2344" t="n">
        <v>0.0122293288143155</v>
      </c>
      <c r="J2344" t="n">
        <v>0.0167380336302503</v>
      </c>
      <c r="K2344" t="n">
        <v>0.62736204978803</v>
      </c>
      <c r="L2344" t="b">
        <v>1</v>
      </c>
      <c r="M2344" t="b">
        <v>0</v>
      </c>
      <c r="N2344" t="inlineStr">
        <is>
          <t>ref</t>
        </is>
      </c>
      <c r="O2344" t="n">
        <v>35</v>
      </c>
      <c r="P2344" t="n">
        <v>0.04416</v>
      </c>
      <c r="Q2344" t="n">
        <v>100</v>
      </c>
      <c r="R2344" t="n">
        <v>0.1166</v>
      </c>
      <c r="S2344">
        <f>IMAGE("https://mitra.stanford.edu/kundaje/oak/projects/neuro-variants/variant_position/credible/roussos_2024/variant_figures/roussos_2024.childhood.Astrocyte/rs80236857_count_position.png",4,220,900)</f>
        <v/>
      </c>
      <c r="T2344">
        <f>IMAGE("https://mitra.stanford.edu/kundaje/oak/projects/neuro-variants/variant_position/credible/roussos_2024/variant_figures/roussos_2024.childhood.Astrocyte/rs80236857_profile_position.png",4,220,900)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-0.06305770719999999</v>
      </c>
      <c r="G2345" t="n">
        <v>0.1572208749682133</v>
      </c>
      <c r="H2345" t="n">
        <v>0.0116090278186731</v>
      </c>
      <c r="I2345" t="n">
        <v>0.5558490978121844</v>
      </c>
      <c r="J2345" t="n">
        <v>0.3747345683252806</v>
      </c>
      <c r="K2345" t="n">
        <v>0.098214228655206</v>
      </c>
      <c r="L2345" t="b">
        <v>0</v>
      </c>
      <c r="M2345" t="b">
        <v>0</v>
      </c>
      <c r="N2345" t="inlineStr">
        <is>
          <t>ref</t>
        </is>
      </c>
      <c r="O2345" t="n">
        <v>-95</v>
      </c>
      <c r="P2345" t="n">
        <v>0.05362</v>
      </c>
      <c r="Q2345" t="n">
        <v>-45</v>
      </c>
      <c r="R2345" t="n">
        <v>0.547</v>
      </c>
      <c r="S2345">
        <f>IMAGE("https://mitra.stanford.edu/kundaje/oak/projects/neuro-variants/variant_position/credible/roussos_2024/variant_figures/roussos_2024.childhood.Astrocyte/rs73090183_count_position.png",4,220,900)</f>
        <v/>
      </c>
      <c r="T2345">
        <f>IMAGE("https://mitra.stanford.edu/kundaje/oak/projects/neuro-variants/variant_position/credible/roussos_2024/variant_figures/roussos_2024.childhood.Astrocyte/rs73090183_profile_position.png",4,220,900)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-0.0338894853999999</v>
      </c>
      <c r="G2346" t="n">
        <v>0.3414539227602093</v>
      </c>
      <c r="H2346" t="n">
        <v>0.0406076017337941</v>
      </c>
      <c r="I2346" t="n">
        <v>0.0091477461079011</v>
      </c>
      <c r="J2346" t="n">
        <v>0.0135673559112453</v>
      </c>
      <c r="K2346" t="n">
        <v>0.6801797823809836</v>
      </c>
      <c r="L2346" t="b">
        <v>1</v>
      </c>
      <c r="M2346" t="b">
        <v>0</v>
      </c>
      <c r="N2346" t="inlineStr">
        <is>
          <t>ref</t>
        </is>
      </c>
      <c r="O2346" t="n">
        <v>30</v>
      </c>
      <c r="P2346" t="n">
        <v>0.0163</v>
      </c>
      <c r="Q2346" t="n">
        <v>-95</v>
      </c>
      <c r="R2346" t="n">
        <v>0.07605000000000001</v>
      </c>
      <c r="S2346">
        <f>IMAGE("https://mitra.stanford.edu/kundaje/oak/projects/neuro-variants/variant_position/credible/roussos_2024/variant_figures/roussos_2024.childhood.Astrocyte/rs34376789_count_position.png",4,220,900)</f>
        <v/>
      </c>
      <c r="T2346">
        <f>IMAGE("https://mitra.stanford.edu/kundaje/oak/projects/neuro-variants/variant_position/credible/roussos_2024/variant_figures/roussos_2024.childhood.Astrocyte/rs34376789_profile_position.png",4,220,900)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-0.0382519368</v>
      </c>
      <c r="G2347" t="n">
        <v>0.3068310814411871</v>
      </c>
      <c r="H2347" t="n">
        <v>0.0108658855614518</v>
      </c>
      <c r="I2347" t="n">
        <v>0.6205523111281057</v>
      </c>
      <c r="J2347" t="n">
        <v>0.0448436414706936</v>
      </c>
      <c r="K2347" t="n">
        <v>0.4831548353097098</v>
      </c>
      <c r="L2347" t="b">
        <v>0</v>
      </c>
      <c r="M2347" t="b">
        <v>0</v>
      </c>
      <c r="N2347" t="inlineStr">
        <is>
          <t>ref</t>
        </is>
      </c>
      <c r="O2347" t="n">
        <v>95</v>
      </c>
      <c r="P2347" t="n">
        <v>0.01474</v>
      </c>
      <c r="Q2347" t="n">
        <v>-100</v>
      </c>
      <c r="R2347" t="n">
        <v>0.2915</v>
      </c>
      <c r="S2347">
        <f>IMAGE("https://mitra.stanford.edu/kundaje/oak/projects/neuro-variants/variant_position/credible/roussos_2024/variant_figures/roussos_2024.childhood.Astrocyte/rs11884034_count_position.png",4,220,900)</f>
        <v/>
      </c>
      <c r="T2347">
        <f>IMAGE("https://mitra.stanford.edu/kundaje/oak/projects/neuro-variants/variant_position/credible/roussos_2024/variant_figures/roussos_2024.childhood.Astrocyte/rs11884034_profile_position.png",4,220,900)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-0.08626052599999991</v>
      </c>
      <c r="G2348" t="n">
        <v>0.0973855863610532</v>
      </c>
      <c r="H2348" t="n">
        <v>0.0143358087965028</v>
      </c>
      <c r="I2348" t="n">
        <v>0.341986470285854</v>
      </c>
      <c r="J2348" t="n">
        <v>0.0167281109508216</v>
      </c>
      <c r="K2348" t="n">
        <v>0.640183709439979</v>
      </c>
      <c r="L2348" t="b">
        <v>0</v>
      </c>
      <c r="M2348" t="b">
        <v>0</v>
      </c>
      <c r="N2348" t="inlineStr">
        <is>
          <t>ref</t>
        </is>
      </c>
      <c r="O2348" t="n">
        <v>-30</v>
      </c>
      <c r="P2348" t="n">
        <v>0.006325</v>
      </c>
      <c r="Q2348" t="n">
        <v>-100</v>
      </c>
      <c r="R2348" t="n">
        <v>0.1395</v>
      </c>
      <c r="S2348">
        <f>IMAGE("https://mitra.stanford.edu/kundaje/oak/projects/neuro-variants/variant_position/credible/roussos_2024/variant_figures/roussos_2024.childhood.Astrocyte/rs55828602_count_position.png",4,220,900)</f>
        <v/>
      </c>
      <c r="T2348">
        <f>IMAGE("https://mitra.stanford.edu/kundaje/oak/projects/neuro-variants/variant_position/credible/roussos_2024/variant_figures/roussos_2024.childhood.Astrocyte/rs55828602_profile_position.png",4,220,900)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-0.0128550611439999</v>
      </c>
      <c r="G2349" t="n">
        <v>0.6706996684837055</v>
      </c>
      <c r="H2349" t="n">
        <v>0.0202285464125982</v>
      </c>
      <c r="I2349" t="n">
        <v>0.120898571922323</v>
      </c>
      <c r="J2349" t="n">
        <v>0.0673383557356903</v>
      </c>
      <c r="K2349" t="n">
        <v>0.3942023490565275</v>
      </c>
      <c r="L2349" t="b">
        <v>0</v>
      </c>
      <c r="M2349" t="b">
        <v>0</v>
      </c>
      <c r="N2349" t="inlineStr">
        <is>
          <t>ref</t>
        </is>
      </c>
      <c r="O2349" t="n">
        <v>-80</v>
      </c>
      <c r="P2349" t="n">
        <v>0.003937</v>
      </c>
      <c r="Q2349" t="n">
        <v>40</v>
      </c>
      <c r="R2349" t="n">
        <v>0.0781</v>
      </c>
      <c r="S2349">
        <f>IMAGE("https://mitra.stanford.edu/kundaje/oak/projects/neuro-variants/variant_position/credible/roussos_2024/variant_figures/roussos_2024.childhood.Astrocyte/rs56161331_count_position.png",4,220,900)</f>
        <v/>
      </c>
      <c r="T2349">
        <f>IMAGE("https://mitra.stanford.edu/kundaje/oak/projects/neuro-variants/variant_position/credible/roussos_2024/variant_figures/roussos_2024.childhood.Astrocyte/rs56161331_profile_position.png",4,220,900)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-0.0315021751999999</v>
      </c>
      <c r="G2350" t="n">
        <v>0.3665951108616191</v>
      </c>
      <c r="H2350" t="n">
        <v>0.0101352222715868</v>
      </c>
      <c r="I2350" t="n">
        <v>0.6967147454864965</v>
      </c>
      <c r="J2350" t="n">
        <v>0.003001228885683</v>
      </c>
      <c r="K2350" t="n">
        <v>0.827067163876502</v>
      </c>
      <c r="L2350" t="b">
        <v>0</v>
      </c>
      <c r="M2350" t="b">
        <v>0</v>
      </c>
      <c r="N2350" t="inlineStr">
        <is>
          <t>ref</t>
        </is>
      </c>
      <c r="O2350" t="n">
        <v>55</v>
      </c>
      <c r="P2350" t="n">
        <v>0.01772</v>
      </c>
      <c r="Q2350" t="n">
        <v>90</v>
      </c>
      <c r="R2350" t="n">
        <v>0.04504</v>
      </c>
      <c r="S2350">
        <f>IMAGE("https://mitra.stanford.edu/kundaje/oak/projects/neuro-variants/variant_position/credible/roussos_2024/variant_figures/roussos_2024.childhood.Astrocyte/rs12620112_count_position.png",4,220,900)</f>
        <v/>
      </c>
      <c r="T2350">
        <f>IMAGE("https://mitra.stanford.edu/kundaje/oak/projects/neuro-variants/variant_position/credible/roussos_2024/variant_figures/roussos_2024.childhood.Astrocyte/rs12620112_profile_position.png",4,220,900)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0.052999232</v>
      </c>
      <c r="G2351" t="n">
        <v>0.2064719700609276</v>
      </c>
      <c r="H2351" t="n">
        <v>0.0122055201953483</v>
      </c>
      <c r="I2351" t="n">
        <v>0.4971316596825083</v>
      </c>
      <c r="J2351" t="n">
        <v>0.0038461832031935</v>
      </c>
      <c r="K2351" t="n">
        <v>0.8022974109360371</v>
      </c>
      <c r="L2351" t="b">
        <v>0</v>
      </c>
      <c r="M2351" t="b">
        <v>0</v>
      </c>
      <c r="N2351" t="inlineStr">
        <is>
          <t>alt</t>
        </is>
      </c>
      <c r="O2351" t="n">
        <v>55</v>
      </c>
      <c r="P2351" t="n">
        <v>0.01784</v>
      </c>
      <c r="Q2351" t="n">
        <v>90</v>
      </c>
      <c r="R2351" t="n">
        <v>0.04785</v>
      </c>
      <c r="S2351">
        <f>IMAGE("https://mitra.stanford.edu/kundaje/oak/projects/neuro-variants/variant_position/credible/roussos_2024/variant_figures/roussos_2024.childhood.Astrocyte/rs12613751_count_position.png",4,220,900)</f>
        <v/>
      </c>
      <c r="T2351">
        <f>IMAGE("https://mitra.stanford.edu/kundaje/oak/projects/neuro-variants/variant_position/credible/roussos_2024/variant_figures/roussos_2024.childhood.Astrocyte/rs12613751_profile_position.png",4,220,900)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0.01553311974</v>
      </c>
      <c r="G2352" t="n">
        <v>0.6177589596572289</v>
      </c>
      <c r="H2352" t="n">
        <v>0.0122466298970987</v>
      </c>
      <c r="I2352" t="n">
        <v>0.4907669352833657</v>
      </c>
      <c r="J2352" t="n">
        <v>0.0163831070199139</v>
      </c>
      <c r="K2352" t="n">
        <v>0.6270708931087765</v>
      </c>
      <c r="L2352" t="b">
        <v>0</v>
      </c>
      <c r="M2352" t="b">
        <v>0</v>
      </c>
      <c r="N2352" t="inlineStr">
        <is>
          <t>alt</t>
        </is>
      </c>
      <c r="O2352" t="n">
        <v>-100</v>
      </c>
      <c r="P2352" t="n">
        <v>0.005554</v>
      </c>
      <c r="Q2352" t="n">
        <v>0</v>
      </c>
      <c r="R2352" t="n">
        <v>0</v>
      </c>
      <c r="S2352">
        <f>IMAGE("https://mitra.stanford.edu/kundaje/oak/projects/neuro-variants/variant_position/credible/roussos_2024/variant_figures/roussos_2024.childhood.Astrocyte/rs10933235_count_position.png",4,220,900)</f>
        <v/>
      </c>
      <c r="T2352">
        <f>IMAGE("https://mitra.stanford.edu/kundaje/oak/projects/neuro-variants/variant_position/credible/roussos_2024/variant_figures/roussos_2024.childhood.Astrocyte/rs10933235_profile_position.png",4,220,900)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0.0740904018</v>
      </c>
      <c r="G2353" t="n">
        <v>0.118933689388738</v>
      </c>
      <c r="H2353" t="n">
        <v>0.0156692176774905</v>
      </c>
      <c r="I2353" t="n">
        <v>0.2725668720812425</v>
      </c>
      <c r="J2353" t="n">
        <v>0.0021600909833374</v>
      </c>
      <c r="K2353" t="n">
        <v>0.8575639734747194</v>
      </c>
      <c r="L2353" t="b">
        <v>0</v>
      </c>
      <c r="M2353" t="b">
        <v>0</v>
      </c>
      <c r="N2353" t="inlineStr">
        <is>
          <t>alt</t>
        </is>
      </c>
      <c r="O2353" t="n">
        <v>60</v>
      </c>
      <c r="P2353" t="n">
        <v>0.04605</v>
      </c>
      <c r="Q2353" t="n">
        <v>60</v>
      </c>
      <c r="R2353" t="n">
        <v>0.0575</v>
      </c>
      <c r="S2353">
        <f>IMAGE("https://mitra.stanford.edu/kundaje/oak/projects/neuro-variants/variant_position/credible/roussos_2024/variant_figures/roussos_2024.childhood.Astrocyte/rs10175063_count_position.png",4,220,900)</f>
        <v/>
      </c>
      <c r="T2353">
        <f>IMAGE("https://mitra.stanford.edu/kundaje/oak/projects/neuro-variants/variant_position/credible/roussos_2024/variant_figures/roussos_2024.childhood.Astrocyte/rs10175063_profile_position.png",4,220,900)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0.04624282608</v>
      </c>
      <c r="G2354" t="n">
        <v>0.2593006537205171</v>
      </c>
      <c r="H2354" t="n">
        <v>0.0145732798588084</v>
      </c>
      <c r="I2354" t="n">
        <v>0.3210339375333922</v>
      </c>
      <c r="J2354" t="n">
        <v>0.1051910879073068</v>
      </c>
      <c r="K2354" t="n">
        <v>0.3132094118681751</v>
      </c>
      <c r="L2354" t="b">
        <v>0</v>
      </c>
      <c r="M2354" t="b">
        <v>0</v>
      </c>
      <c r="N2354" t="inlineStr">
        <is>
          <t>alt</t>
        </is>
      </c>
      <c r="O2354" t="n">
        <v>100</v>
      </c>
      <c r="P2354" t="n">
        <v>0.007263</v>
      </c>
      <c r="Q2354" t="n">
        <v>-85</v>
      </c>
      <c r="R2354" t="n">
        <v>0.08690000000000001</v>
      </c>
      <c r="S2354">
        <f>IMAGE("https://mitra.stanford.edu/kundaje/oak/projects/neuro-variants/variant_position/credible/roussos_2024/variant_figures/roussos_2024.childhood.Astrocyte/rs67681818_count_position.png",4,220,900)</f>
        <v/>
      </c>
      <c r="T2354">
        <f>IMAGE("https://mitra.stanford.edu/kundaje/oak/projects/neuro-variants/variant_position/credible/roussos_2024/variant_figures/roussos_2024.childhood.Astrocyte/rs67681818_profile_position.png",4,220,900)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-0.008724847656</v>
      </c>
      <c r="G2355" t="n">
        <v>0.7253355140270763</v>
      </c>
      <c r="H2355" t="n">
        <v>0.0086274034208823</v>
      </c>
      <c r="I2355" t="n">
        <v>0.8231109463557603</v>
      </c>
      <c r="J2355" t="n">
        <v>0.030174104859823</v>
      </c>
      <c r="K2355" t="n">
        <v>0.530984188830309</v>
      </c>
      <c r="L2355" t="b">
        <v>0</v>
      </c>
      <c r="M2355" t="b">
        <v>0</v>
      </c>
      <c r="N2355" t="inlineStr">
        <is>
          <t>ref</t>
        </is>
      </c>
      <c r="O2355" t="n">
        <v>-100</v>
      </c>
      <c r="P2355" t="n">
        <v>0.09955</v>
      </c>
      <c r="Q2355" t="n">
        <v>-95</v>
      </c>
      <c r="R2355" t="n">
        <v>0.1519</v>
      </c>
      <c r="S2355">
        <f>IMAGE("https://mitra.stanford.edu/kundaje/oak/projects/neuro-variants/variant_position/credible/roussos_2024/variant_figures/roussos_2024.childhood.Astrocyte/rs67890737_count_position.png",4,220,900)</f>
        <v/>
      </c>
      <c r="T2355">
        <f>IMAGE("https://mitra.stanford.edu/kundaje/oak/projects/neuro-variants/variant_position/credible/roussos_2024/variant_figures/roussos_2024.childhood.Astrocyte/rs67890737_profile_position.png",4,220,900)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0.01901615568</v>
      </c>
      <c r="G2356" t="n">
        <v>0.5549357807517895</v>
      </c>
      <c r="H2356" t="n">
        <v>0.015725563723493</v>
      </c>
      <c r="I2356" t="n">
        <v>0.2693170617281326</v>
      </c>
      <c r="J2356" t="n">
        <v>0.0754413684138214</v>
      </c>
      <c r="K2356" t="n">
        <v>0.3730380579828449</v>
      </c>
      <c r="L2356" t="b">
        <v>0</v>
      </c>
      <c r="M2356" t="b">
        <v>0</v>
      </c>
      <c r="N2356" t="inlineStr">
        <is>
          <t>alt</t>
        </is>
      </c>
      <c r="O2356" t="n">
        <v>-40</v>
      </c>
      <c r="P2356" t="n">
        <v>0.004333</v>
      </c>
      <c r="Q2356" t="n">
        <v>65</v>
      </c>
      <c r="R2356" t="n">
        <v>0.1046</v>
      </c>
      <c r="S2356">
        <f>IMAGE("https://mitra.stanford.edu/kundaje/oak/projects/neuro-variants/variant_position/credible/roussos_2024/variant_figures/roussos_2024.childhood.Astrocyte/rs10191681_count_position.png",4,220,900)</f>
        <v/>
      </c>
      <c r="T2356">
        <f>IMAGE("https://mitra.stanford.edu/kundaje/oak/projects/neuro-variants/variant_position/credible/roussos_2024/variant_figures/roussos_2024.childhood.Astrocyte/rs10191681_profile_position.png",4,220,900)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-0.00134793524</v>
      </c>
      <c r="G2357" t="n">
        <v>0.627033447346556</v>
      </c>
      <c r="H2357" t="n">
        <v>0.0430243503865961</v>
      </c>
      <c r="I2357" t="n">
        <v>0.0072347759015338</v>
      </c>
      <c r="J2357" t="n">
        <v>0.0014754261027531</v>
      </c>
      <c r="K2357" t="n">
        <v>0.8759356330475938</v>
      </c>
      <c r="L2357" t="b">
        <v>0</v>
      </c>
      <c r="M2357" t="b">
        <v>0</v>
      </c>
      <c r="N2357" t="inlineStr">
        <is>
          <t>ref</t>
        </is>
      </c>
      <c r="O2357" t="n">
        <v>45</v>
      </c>
      <c r="P2357" t="n">
        <v>0.003662</v>
      </c>
      <c r="Q2357" t="n">
        <v>30</v>
      </c>
      <c r="R2357" t="n">
        <v>0.06183</v>
      </c>
      <c r="S2357">
        <f>IMAGE("https://mitra.stanford.edu/kundaje/oak/projects/neuro-variants/variant_position/credible/roussos_2024/variant_figures/roussos_2024.childhood.Astrocyte/rs12618505_count_position.png",4,220,900)</f>
        <v/>
      </c>
      <c r="T2357">
        <f>IMAGE("https://mitra.stanford.edu/kundaje/oak/projects/neuro-variants/variant_position/credible/roussos_2024/variant_figures/roussos_2024.childhood.Astrocyte/rs12618505_profile_position.png",4,220,900)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0.00738600708</v>
      </c>
      <c r="G2358" t="n">
        <v>0.7016502209455719</v>
      </c>
      <c r="H2358" t="n">
        <v>0.0366513456723514</v>
      </c>
      <c r="I2358" t="n">
        <v>0.0134939624911167</v>
      </c>
      <c r="J2358" t="n">
        <v>0.0019807194705868</v>
      </c>
      <c r="K2358" t="n">
        <v>0.857620385919686</v>
      </c>
      <c r="L2358" t="b">
        <v>0</v>
      </c>
      <c r="M2358" t="b">
        <v>0</v>
      </c>
      <c r="N2358" t="inlineStr">
        <is>
          <t>alt</t>
        </is>
      </c>
      <c r="O2358" t="n">
        <v>-100</v>
      </c>
      <c r="P2358" t="n">
        <v>0.0025</v>
      </c>
      <c r="Q2358" t="n">
        <v>-90</v>
      </c>
      <c r="R2358" t="n">
        <v>0.0587</v>
      </c>
      <c r="S2358">
        <f>IMAGE("https://mitra.stanford.edu/kundaje/oak/projects/neuro-variants/variant_position/credible/roussos_2024/variant_figures/roussos_2024.childhood.Astrocyte/rs4450589_count_position.png",4,220,900)</f>
        <v/>
      </c>
      <c r="T2358">
        <f>IMAGE("https://mitra.stanford.edu/kundaje/oak/projects/neuro-variants/variant_position/credible/roussos_2024/variant_figures/roussos_2024.childhood.Astrocyte/rs4450589_profile_position.png",4,220,900)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0.0104149641</v>
      </c>
      <c r="G2359" t="n">
        <v>0.6771361283889908</v>
      </c>
      <c r="H2359" t="n">
        <v>0.0102547235567611</v>
      </c>
      <c r="I2359" t="n">
        <v>0.6967092342292592</v>
      </c>
      <c r="J2359" t="n">
        <v>0.0048193690702448</v>
      </c>
      <c r="K2359" t="n">
        <v>0.7946414566556665</v>
      </c>
      <c r="L2359" t="b">
        <v>0</v>
      </c>
      <c r="M2359" t="b">
        <v>0</v>
      </c>
      <c r="N2359" t="inlineStr">
        <is>
          <t>alt</t>
        </is>
      </c>
      <c r="O2359" t="n">
        <v>90</v>
      </c>
      <c r="P2359" t="n">
        <v>0.03036</v>
      </c>
      <c r="Q2359" t="n">
        <v>-100</v>
      </c>
      <c r="R2359" t="n">
        <v>0.04077</v>
      </c>
      <c r="S2359">
        <f>IMAGE("https://mitra.stanford.edu/kundaje/oak/projects/neuro-variants/variant_position/credible/roussos_2024/variant_figures/roussos_2024.childhood.Astrocyte/rs10933236_count_position.png",4,220,900)</f>
        <v/>
      </c>
      <c r="T2359">
        <f>IMAGE("https://mitra.stanford.edu/kundaje/oak/projects/neuro-variants/variant_position/credible/roussos_2024/variant_figures/roussos_2024.childhood.Astrocyte/rs10933236_profile_position.png",4,220,900)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-0.01117744539</v>
      </c>
      <c r="G2360" t="n">
        <v>0.6953283517772478</v>
      </c>
      <c r="H2360" t="n">
        <v>0.0297561021966454</v>
      </c>
      <c r="I2360" t="n">
        <v>0.0307150915434972</v>
      </c>
      <c r="J2360" t="n">
        <v>0.0009304420172043</v>
      </c>
      <c r="K2360" t="n">
        <v>0.906877030569783</v>
      </c>
      <c r="L2360" t="b">
        <v>0</v>
      </c>
      <c r="M2360" t="b">
        <v>0</v>
      </c>
      <c r="N2360" t="inlineStr">
        <is>
          <t>ref</t>
        </is>
      </c>
      <c r="O2360" t="n">
        <v>40</v>
      </c>
      <c r="P2360" t="n">
        <v>0.006165</v>
      </c>
      <c r="Q2360" t="n">
        <v>90</v>
      </c>
      <c r="R2360" t="n">
        <v>0.07149999999999999</v>
      </c>
      <c r="S2360">
        <f>IMAGE("https://mitra.stanford.edu/kundaje/oak/projects/neuro-variants/variant_position/credible/roussos_2024/variant_figures/roussos_2024.childhood.Astrocyte/rs66499548_count_position.png",4,220,900)</f>
        <v/>
      </c>
      <c r="T2360">
        <f>IMAGE("https://mitra.stanford.edu/kundaje/oak/projects/neuro-variants/variant_position/credible/roussos_2024/variant_figures/roussos_2024.childhood.Astrocyte/rs66499548_profile_position.png",4,220,900)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-0.00741425068</v>
      </c>
      <c r="G2361" t="n">
        <v>0.7685576779315493</v>
      </c>
      <c r="H2361" t="n">
        <v>0.0266631035885823</v>
      </c>
      <c r="I2361" t="n">
        <v>0.0462894562558983</v>
      </c>
      <c r="J2361" t="n">
        <v>0.0010792822086357</v>
      </c>
      <c r="K2361" t="n">
        <v>0.8981891845812675</v>
      </c>
      <c r="L2361" t="b">
        <v>0</v>
      </c>
      <c r="M2361" t="b">
        <v>0</v>
      </c>
      <c r="N2361" t="inlineStr">
        <is>
          <t>ref</t>
        </is>
      </c>
      <c r="O2361" t="n">
        <v>-45</v>
      </c>
      <c r="P2361" t="n">
        <v>0.004333</v>
      </c>
      <c r="Q2361" t="n">
        <v>5</v>
      </c>
      <c r="R2361" t="n">
        <v>0.003967</v>
      </c>
      <c r="S2361">
        <f>IMAGE("https://mitra.stanford.edu/kundaje/oak/projects/neuro-variants/variant_position/credible/roussos_2024/variant_figures/roussos_2024.childhood.Astrocyte/rs13388454_count_position.png",4,220,900)</f>
        <v/>
      </c>
      <c r="T2361">
        <f>IMAGE("https://mitra.stanford.edu/kundaje/oak/projects/neuro-variants/variant_position/credible/roussos_2024/variant_figures/roussos_2024.childhood.Astrocyte/rs13388454_profile_position.png",4,220,900)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-0.000646739148</v>
      </c>
      <c r="G2362" t="n">
        <v>0.8999413807880161</v>
      </c>
      <c r="H2362" t="n">
        <v>0.0163433584655662</v>
      </c>
      <c r="I2362" t="n">
        <v>0.2402765739380649</v>
      </c>
      <c r="J2362" t="n">
        <v>0.0013800157236304</v>
      </c>
      <c r="K2362" t="n">
        <v>0.8838816216678201</v>
      </c>
      <c r="L2362" t="b">
        <v>0</v>
      </c>
      <c r="M2362" t="b">
        <v>0</v>
      </c>
      <c r="N2362" t="inlineStr">
        <is>
          <t>ref</t>
        </is>
      </c>
      <c r="O2362" t="n">
        <v>100</v>
      </c>
      <c r="P2362" t="n">
        <v>0.0103</v>
      </c>
      <c r="Q2362" t="n">
        <v>95</v>
      </c>
      <c r="R2362" t="n">
        <v>0.04153</v>
      </c>
      <c r="S2362">
        <f>IMAGE("https://mitra.stanford.edu/kundaje/oak/projects/neuro-variants/variant_position/credible/roussos_2024/variant_figures/roussos_2024.childhood.Astrocyte/rs4973071_count_position.png",4,220,900)</f>
        <v/>
      </c>
      <c r="T2362">
        <f>IMAGE("https://mitra.stanford.edu/kundaje/oak/projects/neuro-variants/variant_position/credible/roussos_2024/variant_figures/roussos_2024.childhood.Astrocyte/rs4973071_profile_position.png",4,220,900)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0.0262047357</v>
      </c>
      <c r="G2363" t="n">
        <v>0.4430538690754533</v>
      </c>
      <c r="H2363" t="n">
        <v>0.0104664457426701</v>
      </c>
      <c r="I2363" t="n">
        <v>0.6701373610009931</v>
      </c>
      <c r="J2363" t="n">
        <v>0.0334768305435338</v>
      </c>
      <c r="K2363" t="n">
        <v>0.5112075427221791</v>
      </c>
      <c r="L2363" t="b">
        <v>0</v>
      </c>
      <c r="M2363" t="b">
        <v>0</v>
      </c>
      <c r="N2363" t="inlineStr">
        <is>
          <t>alt</t>
        </is>
      </c>
      <c r="O2363" t="n">
        <v>100</v>
      </c>
      <c r="P2363" t="n">
        <v>0.0187</v>
      </c>
      <c r="Q2363" t="n">
        <v>100</v>
      </c>
      <c r="R2363" t="n">
        <v>0.1646</v>
      </c>
      <c r="S2363">
        <f>IMAGE("https://mitra.stanford.edu/kundaje/oak/projects/neuro-variants/variant_position/credible/roussos_2024/variant_figures/roussos_2024.childhood.Astrocyte/rs4246653_count_position.png",4,220,900)</f>
        <v/>
      </c>
      <c r="T2363">
        <f>IMAGE("https://mitra.stanford.edu/kundaje/oak/projects/neuro-variants/variant_position/credible/roussos_2024/variant_figures/roussos_2024.childhood.Astrocyte/rs4246653_profile_position.png",4,220,900)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-0.0909999028</v>
      </c>
      <c r="G2364" t="n">
        <v>0.0853534470545608</v>
      </c>
      <c r="H2364" t="n">
        <v>0.0145519013723987</v>
      </c>
      <c r="I2364" t="n">
        <v>0.3293112066238667</v>
      </c>
      <c r="J2364" t="n">
        <v>0.0909749414180271</v>
      </c>
      <c r="K2364" t="n">
        <v>0.3449812095736816</v>
      </c>
      <c r="L2364" t="b">
        <v>0</v>
      </c>
      <c r="M2364" t="b">
        <v>0</v>
      </c>
      <c r="N2364" t="inlineStr">
        <is>
          <t>ref</t>
        </is>
      </c>
      <c r="O2364" t="n">
        <v>-85</v>
      </c>
      <c r="P2364" t="n">
        <v>0.02026</v>
      </c>
      <c r="Q2364" t="n">
        <v>20</v>
      </c>
      <c r="R2364" t="n">
        <v>0.02399</v>
      </c>
      <c r="S2364">
        <f>IMAGE("https://mitra.stanford.edu/kundaje/oak/projects/neuro-variants/variant_position/credible/roussos_2024/variant_figures/roussos_2024.childhood.Astrocyte/rs6436754_count_position.png",4,220,900)</f>
        <v/>
      </c>
      <c r="T2364">
        <f>IMAGE("https://mitra.stanford.edu/kundaje/oak/projects/neuro-variants/variant_position/credible/roussos_2024/variant_figures/roussos_2024.childhood.Astrocyte/rs6436754_profile_position.png",4,220,900)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-0.118034597</v>
      </c>
      <c r="G2365" t="n">
        <v>0.0536112341599737</v>
      </c>
      <c r="H2365" t="n">
        <v>0.0126663217422397</v>
      </c>
      <c r="I2365" t="n">
        <v>0.4563825942121814</v>
      </c>
      <c r="J2365" t="n">
        <v>0.0428148351690289</v>
      </c>
      <c r="K2365" t="n">
        <v>0.4670263745311604</v>
      </c>
      <c r="L2365" t="b">
        <v>0</v>
      </c>
      <c r="M2365" t="b">
        <v>0</v>
      </c>
      <c r="N2365" t="inlineStr">
        <is>
          <t>ref</t>
        </is>
      </c>
      <c r="O2365" t="n">
        <v>-75</v>
      </c>
      <c r="P2365" t="n">
        <v>0.00601</v>
      </c>
      <c r="Q2365" t="n">
        <v>-25</v>
      </c>
      <c r="R2365" t="n">
        <v>0.06884999999999999</v>
      </c>
      <c r="S2365">
        <f>IMAGE("https://mitra.stanford.edu/kundaje/oak/projects/neuro-variants/variant_position/credible/roussos_2024/variant_figures/roussos_2024.childhood.Astrocyte/rs4246655_count_position.png",4,220,900)</f>
        <v/>
      </c>
      <c r="T2365">
        <f>IMAGE("https://mitra.stanford.edu/kundaje/oak/projects/neuro-variants/variant_position/credible/roussos_2024/variant_figures/roussos_2024.childhood.Astrocyte/rs4246655_profile_position.png",4,220,900)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0.020548679</v>
      </c>
      <c r="G2366" t="n">
        <v>0.5243805350540577</v>
      </c>
      <c r="H2366" t="n">
        <v>0.0283312352176631</v>
      </c>
      <c r="I2366" t="n">
        <v>0.0368436729989576</v>
      </c>
      <c r="J2366" t="n">
        <v>0.0113614679459289</v>
      </c>
      <c r="K2366" t="n">
        <v>0.6731777718114877</v>
      </c>
      <c r="L2366" t="b">
        <v>0</v>
      </c>
      <c r="M2366" t="b">
        <v>0</v>
      </c>
      <c r="N2366" t="inlineStr">
        <is>
          <t>alt</t>
        </is>
      </c>
      <c r="O2366" t="n">
        <v>-50</v>
      </c>
      <c r="P2366" t="n">
        <v>0.00264</v>
      </c>
      <c r="Q2366" t="n">
        <v>-75</v>
      </c>
      <c r="R2366" t="n">
        <v>0.01965</v>
      </c>
      <c r="S2366">
        <f>IMAGE("https://mitra.stanford.edu/kundaje/oak/projects/neuro-variants/variant_position/credible/roussos_2024/variant_figures/roussos_2024.childhood.Astrocyte/rs4321353_count_position.png",4,220,900)</f>
        <v/>
      </c>
      <c r="T2366">
        <f>IMAGE("https://mitra.stanford.edu/kundaje/oak/projects/neuro-variants/variant_position/credible/roussos_2024/variant_figures/roussos_2024.childhood.Astrocyte/rs4321353_profile_position.png",4,220,900)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-0.02430169332</v>
      </c>
      <c r="G2367" t="n">
        <v>0.4378294582900466</v>
      </c>
      <c r="H2367" t="n">
        <v>0.0604759273862457</v>
      </c>
      <c r="I2367" t="n">
        <v>0.0020260068264967</v>
      </c>
      <c r="J2367" t="n">
        <v>0.0293344935235434</v>
      </c>
      <c r="K2367" t="n">
        <v>0.5604003938836977</v>
      </c>
      <c r="L2367" t="b">
        <v>1</v>
      </c>
      <c r="M2367" t="b">
        <v>0</v>
      </c>
      <c r="N2367" t="inlineStr">
        <is>
          <t>ref</t>
        </is>
      </c>
      <c r="O2367" t="n">
        <v>-95</v>
      </c>
      <c r="P2367" t="n">
        <v>0.006226</v>
      </c>
      <c r="Q2367" t="n">
        <v>30</v>
      </c>
      <c r="R2367" t="n">
        <v>0.0535</v>
      </c>
      <c r="S2367">
        <f>IMAGE("https://mitra.stanford.edu/kundaje/oak/projects/neuro-variants/variant_position/credible/roussos_2024/variant_figures/roussos_2024.childhood.Astrocyte/rs55784527_count_position.png",4,220,900)</f>
        <v/>
      </c>
      <c r="T2367">
        <f>IMAGE("https://mitra.stanford.edu/kundaje/oak/projects/neuro-variants/variant_position/credible/roussos_2024/variant_figures/roussos_2024.childhood.Astrocyte/rs55784527_profile_position.png",4,220,900)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-0.09746915959999999</v>
      </c>
      <c r="G2368" t="n">
        <v>0.1023430043004581</v>
      </c>
      <c r="H2368" t="n">
        <v>0.0264573256849261</v>
      </c>
      <c r="I2368" t="n">
        <v>0.0479694537980942</v>
      </c>
      <c r="J2368" t="n">
        <v>0.3884942715608374</v>
      </c>
      <c r="K2368" t="n">
        <v>0.0897629585836025</v>
      </c>
      <c r="L2368" t="b">
        <v>0</v>
      </c>
      <c r="M2368" t="b">
        <v>0</v>
      </c>
      <c r="N2368" t="inlineStr">
        <is>
          <t>ref</t>
        </is>
      </c>
      <c r="O2368" t="n">
        <v>-85</v>
      </c>
      <c r="P2368" t="n">
        <v>0.009094</v>
      </c>
      <c r="Q2368" t="n">
        <v>-85</v>
      </c>
      <c r="R2368" t="n">
        <v>0.08154</v>
      </c>
      <c r="S2368">
        <f>IMAGE("https://mitra.stanford.edu/kundaje/oak/projects/neuro-variants/variant_position/credible/roussos_2024/variant_figures/roussos_2024.childhood.Astrocyte/rs62193248_count_position.png",4,220,900)</f>
        <v/>
      </c>
      <c r="T2368">
        <f>IMAGE("https://mitra.stanford.edu/kundaje/oak/projects/neuro-variants/variant_position/credible/roussos_2024/variant_figures/roussos_2024.childhood.Astrocyte/rs62193248_profile_position.png",4,220,900)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0.06934154699999991</v>
      </c>
      <c r="G2369" t="n">
        <v>0.1469748326536266</v>
      </c>
      <c r="H2369" t="n">
        <v>0.0120108312566879</v>
      </c>
      <c r="I2369" t="n">
        <v>0.5129917775260396</v>
      </c>
      <c r="J2369" t="n">
        <v>0.2861937364994313</v>
      </c>
      <c r="K2369" t="n">
        <v>0.1411659969224676</v>
      </c>
      <c r="L2369" t="b">
        <v>0</v>
      </c>
      <c r="M2369" t="b">
        <v>0</v>
      </c>
      <c r="N2369" t="inlineStr">
        <is>
          <t>alt</t>
        </is>
      </c>
      <c r="O2369" t="n">
        <v>-70</v>
      </c>
      <c r="P2369" t="n">
        <v>0.01591</v>
      </c>
      <c r="Q2369" t="n">
        <v>60</v>
      </c>
      <c r="R2369" t="n">
        <v>0.0825</v>
      </c>
      <c r="S2369">
        <f>IMAGE("https://mitra.stanford.edu/kundaje/oak/projects/neuro-variants/variant_position/credible/roussos_2024/variant_figures/roussos_2024.childhood.Astrocyte/rs11886634_count_position.png",4,220,900)</f>
        <v/>
      </c>
      <c r="T2369">
        <f>IMAGE("https://mitra.stanford.edu/kundaje/oak/projects/neuro-variants/variant_position/credible/roussos_2024/variant_figures/roussos_2024.childhood.Astrocyte/rs11886634_profile_position.png",4,220,900)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-0.01406655204</v>
      </c>
      <c r="G2370" t="n">
        <v>0.6387888294683884</v>
      </c>
      <c r="H2370" t="n">
        <v>0.0088917189902582</v>
      </c>
      <c r="I2370" t="n">
        <v>0.8138147674725894</v>
      </c>
      <c r="J2370" t="n">
        <v>0.0127506430659552</v>
      </c>
      <c r="K2370" t="n">
        <v>0.6546602494329121</v>
      </c>
      <c r="L2370" t="b">
        <v>0</v>
      </c>
      <c r="M2370" t="b">
        <v>0</v>
      </c>
      <c r="N2370" t="inlineStr">
        <is>
          <t>ref</t>
        </is>
      </c>
      <c r="O2370" t="n">
        <v>95</v>
      </c>
      <c r="P2370" t="n">
        <v>0.145</v>
      </c>
      <c r="Q2370" t="n">
        <v>-100</v>
      </c>
      <c r="R2370" t="n">
        <v>0.03152</v>
      </c>
      <c r="S2370">
        <f>IMAGE("https://mitra.stanford.edu/kundaje/oak/projects/neuro-variants/variant_position/credible/roussos_2024/variant_figures/roussos_2024.childhood.Astrocyte/rs11885896_count_position.png",4,220,900)</f>
        <v/>
      </c>
      <c r="T2370">
        <f>IMAGE("https://mitra.stanford.edu/kundaje/oak/projects/neuro-variants/variant_position/credible/roussos_2024/variant_figures/roussos_2024.childhood.Astrocyte/rs11885896_profile_position.png",4,220,900)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-0.044946541</v>
      </c>
      <c r="G2371" t="n">
        <v>0.2359756542783315</v>
      </c>
      <c r="H2371" t="n">
        <v>0.0189380871953885</v>
      </c>
      <c r="I2371" t="n">
        <v>0.1523667955067335</v>
      </c>
      <c r="J2371" t="n">
        <v>0.3000251883400883</v>
      </c>
      <c r="K2371" t="n">
        <v>0.1313231482476168</v>
      </c>
      <c r="L2371" t="b">
        <v>0</v>
      </c>
      <c r="M2371" t="b">
        <v>0</v>
      </c>
      <c r="N2371" t="inlineStr">
        <is>
          <t>ref</t>
        </is>
      </c>
      <c r="O2371" t="n">
        <v>10</v>
      </c>
      <c r="P2371" t="n">
        <v>0.00476</v>
      </c>
      <c r="Q2371" t="n">
        <v>15</v>
      </c>
      <c r="R2371" t="n">
        <v>0.07666000000000001</v>
      </c>
      <c r="S2371">
        <f>IMAGE("https://mitra.stanford.edu/kundaje/oak/projects/neuro-variants/variant_position/credible/roussos_2024/variant_figures/roussos_2024.childhood.Astrocyte/rs62190392_count_position.png",4,220,900)</f>
        <v/>
      </c>
      <c r="T2371">
        <f>IMAGE("https://mitra.stanford.edu/kundaje/oak/projects/neuro-variants/variant_position/credible/roussos_2024/variant_figures/roussos_2024.childhood.Astrocyte/rs62190392_profile_position.png",4,220,900)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-0.029292593</v>
      </c>
      <c r="G2372" t="n">
        <v>0.4003048885481431</v>
      </c>
      <c r="H2372" t="n">
        <v>0.0433509047771603</v>
      </c>
      <c r="I2372" t="n">
        <v>0.0070192569974696</v>
      </c>
      <c r="J2372" t="n">
        <v>0.070438811415661</v>
      </c>
      <c r="K2372" t="n">
        <v>0.3823583282574627</v>
      </c>
      <c r="L2372" t="b">
        <v>1</v>
      </c>
      <c r="M2372" t="b">
        <v>1</v>
      </c>
      <c r="N2372" t="inlineStr">
        <is>
          <t>ref</t>
        </is>
      </c>
      <c r="O2372" t="n">
        <v>90</v>
      </c>
      <c r="P2372" t="n">
        <v>0.1214</v>
      </c>
      <c r="Q2372" t="n">
        <v>50</v>
      </c>
      <c r="R2372" t="n">
        <v>0.1266</v>
      </c>
      <c r="S2372">
        <f>IMAGE("https://mitra.stanford.edu/kundaje/oak/projects/neuro-variants/variant_position/credible/roussos_2024/variant_figures/roussos_2024.childhood.Astrocyte/rs370430952_count_position.png",4,220,900)</f>
        <v/>
      </c>
      <c r="T2372">
        <f>IMAGE("https://mitra.stanford.edu/kundaje/oak/projects/neuro-variants/variant_position/credible/roussos_2024/variant_figures/roussos_2024.childhood.Astrocyte/rs370430952_profile_position.png",4,220,900)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-0.00425476038</v>
      </c>
      <c r="G2373" t="n">
        <v>0.8468156009601974</v>
      </c>
      <c r="H2373" t="n">
        <v>0.03399696135297</v>
      </c>
      <c r="I2373" t="n">
        <v>0.019118116600195</v>
      </c>
      <c r="J2373" t="n">
        <v>0.0999488600367902</v>
      </c>
      <c r="K2373" t="n">
        <v>0.3243221258223338</v>
      </c>
      <c r="L2373" t="b">
        <v>1</v>
      </c>
      <c r="M2373" t="b">
        <v>0</v>
      </c>
      <c r="N2373" t="inlineStr">
        <is>
          <t>ref</t>
        </is>
      </c>
      <c r="O2373" t="n">
        <v>-10</v>
      </c>
      <c r="P2373" t="n">
        <v>0.0006713999999999999</v>
      </c>
      <c r="Q2373" t="n">
        <v>75</v>
      </c>
      <c r="R2373" t="n">
        <v>0.0945</v>
      </c>
      <c r="S2373">
        <f>IMAGE("https://mitra.stanford.edu/kundaje/oak/projects/neuro-variants/variant_position/credible/roussos_2024/variant_figures/roussos_2024.childhood.Astrocyte/rs7592697_count_position.png",4,220,900)</f>
        <v/>
      </c>
      <c r="T2373">
        <f>IMAGE("https://mitra.stanford.edu/kundaje/oak/projects/neuro-variants/variant_position/credible/roussos_2024/variant_figures/roussos_2024.childhood.Astrocyte/rs7592697_profile_position.png",4,220,900)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-0.00053791066</v>
      </c>
      <c r="G2374" t="n">
        <v>0.8326068504142531</v>
      </c>
      <c r="H2374" t="n">
        <v>0.0079932085974829</v>
      </c>
      <c r="I2374" t="n">
        <v>0.9071119335191178</v>
      </c>
      <c r="J2374" t="n">
        <v>0.0038896903360734</v>
      </c>
      <c r="K2374" t="n">
        <v>0.8032450322665425</v>
      </c>
      <c r="L2374" t="b">
        <v>0</v>
      </c>
      <c r="M2374" t="b">
        <v>0</v>
      </c>
      <c r="N2374" t="inlineStr">
        <is>
          <t>ref</t>
        </is>
      </c>
      <c r="O2374" t="n">
        <v>-90</v>
      </c>
      <c r="P2374" t="n">
        <v>0.007336</v>
      </c>
      <c r="Q2374" t="n">
        <v>-95</v>
      </c>
      <c r="R2374" t="n">
        <v>0.0765</v>
      </c>
      <c r="S2374">
        <f>IMAGE("https://mitra.stanford.edu/kundaje/oak/projects/neuro-variants/variant_position/credible/roussos_2024/variant_figures/roussos_2024.childhood.Astrocyte/rs13035379_count_position.png",4,220,900)</f>
        <v/>
      </c>
      <c r="T2374">
        <f>IMAGE("https://mitra.stanford.edu/kundaje/oak/projects/neuro-variants/variant_position/credible/roussos_2024/variant_figures/roussos_2024.childhood.Astrocyte/rs13035379_profile_position.png",4,220,900)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0.0323134826</v>
      </c>
      <c r="G2375" t="n">
        <v>0.3578098640001652</v>
      </c>
      <c r="H2375" t="n">
        <v>0.0098261116689159</v>
      </c>
      <c r="I2375" t="n">
        <v>0.683749026371095</v>
      </c>
      <c r="J2375" t="n">
        <v>0.0104302626456915</v>
      </c>
      <c r="K2375" t="n">
        <v>0.6892692051573688</v>
      </c>
      <c r="L2375" t="b">
        <v>0</v>
      </c>
      <c r="M2375" t="b">
        <v>0</v>
      </c>
      <c r="N2375" t="inlineStr">
        <is>
          <t>alt</t>
        </is>
      </c>
      <c r="O2375" t="n">
        <v>35</v>
      </c>
      <c r="P2375" t="n">
        <v>0.005287</v>
      </c>
      <c r="Q2375" t="n">
        <v>-20</v>
      </c>
      <c r="R2375" t="n">
        <v>0.01126</v>
      </c>
      <c r="S2375">
        <f>IMAGE("https://mitra.stanford.edu/kundaje/oak/projects/neuro-variants/variant_position/credible/roussos_2024/variant_figures/roussos_2024.childhood.Astrocyte/rs6749080_count_position.png",4,220,900)</f>
        <v/>
      </c>
      <c r="T2375">
        <f>IMAGE("https://mitra.stanford.edu/kundaje/oak/projects/neuro-variants/variant_position/credible/roussos_2024/variant_figures/roussos_2024.childhood.Astrocyte/rs6749080_profile_position.png",4,220,900)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-0.055886656</v>
      </c>
      <c r="G2376" t="n">
        <v>0.1887482904137076</v>
      </c>
      <c r="H2376" t="n">
        <v>0.0175479420796579</v>
      </c>
      <c r="I2376" t="n">
        <v>0.1952820562223507</v>
      </c>
      <c r="J2376" t="n">
        <v>0.0115431293077785</v>
      </c>
      <c r="K2376" t="n">
        <v>0.6679328284328933</v>
      </c>
      <c r="L2376" t="b">
        <v>0</v>
      </c>
      <c r="M2376" t="b">
        <v>0</v>
      </c>
      <c r="N2376" t="inlineStr">
        <is>
          <t>ref</t>
        </is>
      </c>
      <c r="O2376" t="n">
        <v>50</v>
      </c>
      <c r="P2376" t="n">
        <v>0.00619</v>
      </c>
      <c r="Q2376" t="n">
        <v>60</v>
      </c>
      <c r="R2376" t="n">
        <v>0.1185</v>
      </c>
      <c r="S2376">
        <f>IMAGE("https://mitra.stanford.edu/kundaje/oak/projects/neuro-variants/variant_position/credible/roussos_2024/variant_figures/roussos_2024.childhood.Astrocyte/rs6704763_count_position.png",4,220,900)</f>
        <v/>
      </c>
      <c r="T2376">
        <f>IMAGE("https://mitra.stanford.edu/kundaje/oak/projects/neuro-variants/variant_position/credible/roussos_2024/variant_figures/roussos_2024.childhood.Astrocyte/rs6704763_profile_position.png",4,220,900)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0.0178645106</v>
      </c>
      <c r="G2377" t="n">
        <v>0.54508600587788</v>
      </c>
      <c r="H2377" t="n">
        <v>0.0265783278572314</v>
      </c>
      <c r="I2377" t="n">
        <v>0.0471553415541966</v>
      </c>
      <c r="J2377" t="n">
        <v>0.0037034492760259</v>
      </c>
      <c r="K2377" t="n">
        <v>0.8050423316936408</v>
      </c>
      <c r="L2377" t="b">
        <v>0</v>
      </c>
      <c r="M2377" t="b">
        <v>0</v>
      </c>
      <c r="N2377" t="inlineStr">
        <is>
          <t>alt</t>
        </is>
      </c>
      <c r="O2377" t="n">
        <v>30</v>
      </c>
      <c r="P2377" t="n">
        <v>0.00848</v>
      </c>
      <c r="Q2377" t="n">
        <v>-100</v>
      </c>
      <c r="R2377" t="n">
        <v>0.1748</v>
      </c>
      <c r="S2377">
        <f>IMAGE("https://mitra.stanford.edu/kundaje/oak/projects/neuro-variants/variant_position/credible/roussos_2024/variant_figures/roussos_2024.childhood.Astrocyte/rs6716488_count_position.png",4,220,900)</f>
        <v/>
      </c>
      <c r="T2377">
        <f>IMAGE("https://mitra.stanford.edu/kundaje/oak/projects/neuro-variants/variant_position/credible/roussos_2024/variant_figures/roussos_2024.childhood.Astrocyte/rs6716488_profile_position.png",4,220,900)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-0.021431579</v>
      </c>
      <c r="G2378" t="n">
        <v>0.503914436757685</v>
      </c>
      <c r="H2378" t="n">
        <v>0.0082853683282761</v>
      </c>
      <c r="I2378" t="n">
        <v>0.8805026391103934</v>
      </c>
      <c r="J2378" t="n">
        <v>0.0377779304343843</v>
      </c>
      <c r="K2378" t="n">
        <v>0.4900013451955018</v>
      </c>
      <c r="L2378" t="b">
        <v>0</v>
      </c>
      <c r="M2378" t="b">
        <v>0</v>
      </c>
      <c r="N2378" t="inlineStr">
        <is>
          <t>ref</t>
        </is>
      </c>
      <c r="O2378" t="n">
        <v>5</v>
      </c>
      <c r="P2378" t="n">
        <v>0.0005417</v>
      </c>
      <c r="Q2378" t="n">
        <v>55</v>
      </c>
      <c r="R2378" t="n">
        <v>0.229</v>
      </c>
      <c r="S2378">
        <f>IMAGE("https://mitra.stanford.edu/kundaje/oak/projects/neuro-variants/variant_position/credible/roussos_2024/variant_figures/roussos_2024.childhood.Astrocyte/rs2293782_count_position.png",4,220,900)</f>
        <v/>
      </c>
      <c r="T2378">
        <f>IMAGE("https://mitra.stanford.edu/kundaje/oak/projects/neuro-variants/variant_position/credible/roussos_2024/variant_figures/roussos_2024.childhood.Astrocyte/rs2293782_profile_position.png",4,220,900)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0.0119359382</v>
      </c>
      <c r="G2379" t="n">
        <v>0.6162634523679803</v>
      </c>
      <c r="H2379" t="n">
        <v>0.0470914488430167</v>
      </c>
      <c r="I2379" t="n">
        <v>0.0050295143196912</v>
      </c>
      <c r="J2379" t="n">
        <v>0.2211108821262011</v>
      </c>
      <c r="K2379" t="n">
        <v>0.1844322408102632</v>
      </c>
      <c r="L2379" t="b">
        <v>1</v>
      </c>
      <c r="M2379" t="b">
        <v>1</v>
      </c>
      <c r="N2379" t="inlineStr">
        <is>
          <t>alt</t>
        </is>
      </c>
      <c r="O2379" t="n">
        <v>-100</v>
      </c>
      <c r="P2379" t="n">
        <v>0.00595</v>
      </c>
      <c r="Q2379" t="n">
        <v>-100</v>
      </c>
      <c r="R2379" t="n">
        <v>0.042</v>
      </c>
      <c r="S2379">
        <f>IMAGE("https://mitra.stanford.edu/kundaje/oak/projects/neuro-variants/variant_position/credible/roussos_2024/variant_figures/roussos_2024.childhood.Astrocyte/rs56054779_count_position.png",4,220,900)</f>
        <v/>
      </c>
      <c r="T2379">
        <f>IMAGE("https://mitra.stanford.edu/kundaje/oak/projects/neuro-variants/variant_position/credible/roussos_2024/variant_figures/roussos_2024.childhood.Astrocyte/rs56054779_profile_position.png",4,220,900)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-0.0017152451972</v>
      </c>
      <c r="G2380" t="n">
        <v>0.6935046538408209</v>
      </c>
      <c r="H2380" t="n">
        <v>0.0141607950721502</v>
      </c>
      <c r="I2380" t="n">
        <v>0.3464669118575901</v>
      </c>
      <c r="J2380" t="n">
        <v>0.0011288956057795</v>
      </c>
      <c r="K2380" t="n">
        <v>0.9140294857404572</v>
      </c>
      <c r="L2380" t="b">
        <v>0</v>
      </c>
      <c r="M2380" t="b">
        <v>0</v>
      </c>
      <c r="N2380" t="inlineStr">
        <is>
          <t>ref</t>
        </is>
      </c>
      <c r="O2380" t="n">
        <v>-100</v>
      </c>
      <c r="P2380" t="n">
        <v>0.008279999999999999</v>
      </c>
      <c r="Q2380" t="n">
        <v>-30</v>
      </c>
      <c r="R2380" t="n">
        <v>0.02728</v>
      </c>
      <c r="S2380">
        <f>IMAGE("https://mitra.stanford.edu/kundaje/oak/projects/neuro-variants/variant_position/credible/roussos_2024/variant_figures/roussos_2024.childhood.Astrocyte/rs12993791_count_position.png",4,220,900)</f>
        <v/>
      </c>
      <c r="T2380">
        <f>IMAGE("https://mitra.stanford.edu/kundaje/oak/projects/neuro-variants/variant_position/credible/roussos_2024/variant_figures/roussos_2024.childhood.Astrocyte/rs12993791_profile_position.png",4,220,900)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-0.174055018</v>
      </c>
      <c r="G2381" t="n">
        <v>0.0251413627541178</v>
      </c>
      <c r="H2381" t="n">
        <v>0.0235444794346261</v>
      </c>
      <c r="I2381" t="n">
        <v>0.0727010471220543</v>
      </c>
      <c r="J2381" t="n">
        <v>0.2878294520391106</v>
      </c>
      <c r="K2381" t="n">
        <v>0.1386336499056957</v>
      </c>
      <c r="L2381" t="b">
        <v>0</v>
      </c>
      <c r="M2381" t="b">
        <v>0</v>
      </c>
      <c r="N2381" t="inlineStr">
        <is>
          <t>ref</t>
        </is>
      </c>
      <c r="O2381" t="n">
        <v>25</v>
      </c>
      <c r="P2381" t="n">
        <v>0.00586</v>
      </c>
      <c r="Q2381" t="n">
        <v>25</v>
      </c>
      <c r="R2381" t="n">
        <v>0.01953</v>
      </c>
      <c r="S2381">
        <f>IMAGE("https://mitra.stanford.edu/kundaje/oak/projects/neuro-variants/variant_position/credible/roussos_2024/variant_figures/roussos_2024.childhood.Astrocyte/rs12328151_count_position.png",4,220,900)</f>
        <v/>
      </c>
      <c r="T2381">
        <f>IMAGE("https://mitra.stanford.edu/kundaje/oak/projects/neuro-variants/variant_position/credible/roussos_2024/variant_figures/roussos_2024.childhood.Astrocyte/rs12328151_profile_position.png",4,220,900)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-0.0350729204</v>
      </c>
      <c r="G2382" t="n">
        <v>0.343937866567489</v>
      </c>
      <c r="H2382" t="n">
        <v>0.0104900033014205</v>
      </c>
      <c r="I2382" t="n">
        <v>0.6634458948703869</v>
      </c>
      <c r="J2382" t="n">
        <v>0.6845771030355765</v>
      </c>
      <c r="K2382" t="n">
        <v>0.0205532054406403</v>
      </c>
      <c r="L2382" t="b">
        <v>0</v>
      </c>
      <c r="M2382" t="b">
        <v>0</v>
      </c>
      <c r="N2382" t="inlineStr">
        <is>
          <t>ref</t>
        </is>
      </c>
      <c r="O2382" t="n">
        <v>35</v>
      </c>
      <c r="P2382" t="n">
        <v>0.003052</v>
      </c>
      <c r="Q2382" t="n">
        <v>35</v>
      </c>
      <c r="R2382" t="n">
        <v>0.0857</v>
      </c>
      <c r="S2382">
        <f>IMAGE("https://mitra.stanford.edu/kundaje/oak/projects/neuro-variants/variant_position/credible/roussos_2024/variant_figures/roussos_2024.childhood.Astrocyte/rs2675968_count_position.png",4,220,900)</f>
        <v/>
      </c>
      <c r="T2382">
        <f>IMAGE("https://mitra.stanford.edu/kundaje/oak/projects/neuro-variants/variant_position/credible/roussos_2024/variant_figures/roussos_2024.childhood.Astrocyte/rs2675968_profile_position.png",4,220,900)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0.130754528</v>
      </c>
      <c r="G2383" t="n">
        <v>0.0869717746602115</v>
      </c>
      <c r="H2383" t="n">
        <v>0.048990832316077</v>
      </c>
      <c r="I2383" t="n">
        <v>0.0078288855520296</v>
      </c>
      <c r="J2383" t="n">
        <v>0.07929594773037781</v>
      </c>
      <c r="K2383" t="n">
        <v>0.3645025666460843</v>
      </c>
      <c r="L2383" t="b">
        <v>1</v>
      </c>
      <c r="M2383" t="b">
        <v>1</v>
      </c>
      <c r="N2383" t="inlineStr">
        <is>
          <t>alt</t>
        </is>
      </c>
      <c r="O2383" t="n">
        <v>-100</v>
      </c>
      <c r="P2383" t="n">
        <v>0.02333</v>
      </c>
      <c r="Q2383" t="n">
        <v>-35</v>
      </c>
      <c r="R2383" t="n">
        <v>0.06396</v>
      </c>
      <c r="S2383">
        <f>IMAGE("https://mitra.stanford.edu/kundaje/oak/projects/neuro-variants/variant_position/credible/roussos_2024/variant_figures/roussos_2024.childhood.Astrocyte/rs938575_count_position.png",4,220,900)</f>
        <v/>
      </c>
      <c r="T2383">
        <f>IMAGE("https://mitra.stanford.edu/kundaje/oak/projects/neuro-variants/variant_position/credible/roussos_2024/variant_figures/roussos_2024.childhood.Astrocyte/rs938575_profile_position.png",4,220,900)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-0.270305966</v>
      </c>
      <c r="G2384" t="n">
        <v>0.007824705430714</v>
      </c>
      <c r="H2384" t="n">
        <v>0.0328501246453185</v>
      </c>
      <c r="I2384" t="n">
        <v>0.0223434648411115</v>
      </c>
      <c r="J2384" t="n">
        <v>0.5668460381794174</v>
      </c>
      <c r="K2384" t="n">
        <v>0.0403687796837964</v>
      </c>
      <c r="L2384" t="b">
        <v>1</v>
      </c>
      <c r="M2384" t="b">
        <v>1</v>
      </c>
      <c r="N2384" t="inlineStr">
        <is>
          <t>ref</t>
        </is>
      </c>
      <c r="O2384" t="n">
        <v>100</v>
      </c>
      <c r="P2384" t="n">
        <v>0.004135</v>
      </c>
      <c r="Q2384" t="n">
        <v>35</v>
      </c>
      <c r="R2384" t="n">
        <v>0.0166</v>
      </c>
      <c r="S2384">
        <f>IMAGE("https://mitra.stanford.edu/kundaje/oak/projects/neuro-variants/variant_position/credible/roussos_2024/variant_figures/roussos_2024.childhood.Astrocyte/rs79340715_count_position.png",4,220,900)</f>
        <v/>
      </c>
      <c r="T2384">
        <f>IMAGE("https://mitra.stanford.edu/kundaje/oak/projects/neuro-variants/variant_position/credible/roussos_2024/variant_figures/roussos_2024.childhood.Astrocyte/rs79340715_profile_position.png",4,220,900)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-0.0204065898</v>
      </c>
      <c r="G2385" t="n">
        <v>0.392938688931177</v>
      </c>
      <c r="H2385" t="n">
        <v>0.0126274348998931</v>
      </c>
      <c r="I2385" t="n">
        <v>0.4562583509450694</v>
      </c>
      <c r="J2385" t="n">
        <v>0.0758146138169494</v>
      </c>
      <c r="K2385" t="n">
        <v>0.3749067871219939</v>
      </c>
      <c r="L2385" t="b">
        <v>0</v>
      </c>
      <c r="M2385" t="b">
        <v>0</v>
      </c>
      <c r="N2385" t="inlineStr">
        <is>
          <t>ref</t>
        </is>
      </c>
      <c r="O2385" t="n">
        <v>-10</v>
      </c>
      <c r="P2385" t="n">
        <v>0.001804</v>
      </c>
      <c r="Q2385" t="n">
        <v>35</v>
      </c>
      <c r="R2385" t="n">
        <v>0.04205</v>
      </c>
      <c r="S2385">
        <f>IMAGE("https://mitra.stanford.edu/kundaje/oak/projects/neuro-variants/variant_position/credible/roussos_2024/variant_figures/roussos_2024.childhood.Astrocyte/rs4663623_count_position.png",4,220,900)</f>
        <v/>
      </c>
      <c r="T2385">
        <f>IMAGE("https://mitra.stanford.edu/kundaje/oak/projects/neuro-variants/variant_position/credible/roussos_2024/variant_figures/roussos_2024.childhood.Astrocyte/rs4663623_profile_position.png",4,220,900)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-0.196404606</v>
      </c>
      <c r="G2386" t="n">
        <v>0.0173086287300736</v>
      </c>
      <c r="H2386" t="n">
        <v>0.0253112612392877</v>
      </c>
      <c r="I2386" t="n">
        <v>0.0568977069436766</v>
      </c>
      <c r="J2386" t="n">
        <v>0.2996153053513773</v>
      </c>
      <c r="K2386" t="n">
        <v>0.131399136385422</v>
      </c>
      <c r="L2386" t="b">
        <v>1</v>
      </c>
      <c r="M2386" t="b">
        <v>0</v>
      </c>
      <c r="N2386" t="inlineStr">
        <is>
          <t>ref</t>
        </is>
      </c>
      <c r="O2386" t="n">
        <v>25</v>
      </c>
      <c r="P2386" t="n">
        <v>0.0003662</v>
      </c>
      <c r="Q2386" t="n">
        <v>80</v>
      </c>
      <c r="R2386" t="n">
        <v>0.10815</v>
      </c>
      <c r="S2386">
        <f>IMAGE("https://mitra.stanford.edu/kundaje/oak/projects/neuro-variants/variant_position/credible/roussos_2024/variant_figures/roussos_2024.childhood.Astrocyte/rs4663624_count_position.png",4,220,900)</f>
        <v/>
      </c>
      <c r="T2386">
        <f>IMAGE("https://mitra.stanford.edu/kundaje/oak/projects/neuro-variants/variant_position/credible/roussos_2024/variant_figures/roussos_2024.childhood.Astrocyte/rs4663624_profile_position.png",4,220,900)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-0.092269298</v>
      </c>
      <c r="G2387" t="n">
        <v>0.0832556770642099</v>
      </c>
      <c r="H2387" t="n">
        <v>0.0213795011983383</v>
      </c>
      <c r="I2387" t="n">
        <v>0.105096099526993</v>
      </c>
      <c r="J2387" t="n">
        <v>0.0109210536358986</v>
      </c>
      <c r="K2387" t="n">
        <v>0.6778865894894635</v>
      </c>
      <c r="L2387" t="b">
        <v>0</v>
      </c>
      <c r="M2387" t="b">
        <v>0</v>
      </c>
      <c r="N2387" t="inlineStr">
        <is>
          <t>ref</t>
        </is>
      </c>
      <c r="O2387" t="n">
        <v>5</v>
      </c>
      <c r="P2387" t="n">
        <v>3.815e-05</v>
      </c>
      <c r="Q2387" t="n">
        <v>80</v>
      </c>
      <c r="R2387" t="n">
        <v>0.278</v>
      </c>
      <c r="S2387">
        <f>IMAGE("https://mitra.stanford.edu/kundaje/oak/projects/neuro-variants/variant_position/credible/roussos_2024/variant_figures/roussos_2024.childhood.Astrocyte/rs35772117_count_position.png",4,220,900)</f>
        <v/>
      </c>
      <c r="T2387">
        <f>IMAGE("https://mitra.stanford.edu/kundaje/oak/projects/neuro-variants/variant_position/credible/roussos_2024/variant_figures/roussos_2024.childhood.Astrocyte/rs35772117_profile_position.png",4,220,900)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-0.0424030295999999</v>
      </c>
      <c r="G2388" t="n">
        <v>0.2695024331428347</v>
      </c>
      <c r="H2388" t="n">
        <v>0.0296038087258038</v>
      </c>
      <c r="I2388" t="n">
        <v>0.0315590173389699</v>
      </c>
      <c r="J2388" t="n">
        <v>0.1146733530260355</v>
      </c>
      <c r="K2388" t="n">
        <v>0.3179353031710985</v>
      </c>
      <c r="L2388" t="b">
        <v>0</v>
      </c>
      <c r="M2388" t="b">
        <v>0</v>
      </c>
      <c r="N2388" t="inlineStr">
        <is>
          <t>ref</t>
        </is>
      </c>
      <c r="O2388" t="n">
        <v>-85</v>
      </c>
      <c r="P2388" t="n">
        <v>0.02226</v>
      </c>
      <c r="Q2388" t="n">
        <v>-85</v>
      </c>
      <c r="R2388" t="n">
        <v>0.2275</v>
      </c>
      <c r="S2388">
        <f>IMAGE("https://mitra.stanford.edu/kundaje/oak/projects/neuro-variants/variant_position/credible/roussos_2024/variant_figures/roussos_2024.childhood.Astrocyte/rs13025591_count_position.png",4,220,900)</f>
        <v/>
      </c>
      <c r="T2388">
        <f>IMAGE("https://mitra.stanford.edu/kundaje/oak/projects/neuro-variants/variant_position/credible/roussos_2024/variant_figures/roussos_2024.childhood.Astrocyte/rs13025591_profile_position.png",4,220,900)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-0.2149112919999999</v>
      </c>
      <c r="G2389" t="n">
        <v>0.0175672476054046</v>
      </c>
      <c r="H2389" t="n">
        <v>0.029799721223663</v>
      </c>
      <c r="I2389" t="n">
        <v>0.0328946465162272</v>
      </c>
      <c r="J2389" t="n">
        <v>0.1934563745582499</v>
      </c>
      <c r="K2389" t="n">
        <v>0.205364865566127</v>
      </c>
      <c r="L2389" t="b">
        <v>1</v>
      </c>
      <c r="M2389" t="b">
        <v>0</v>
      </c>
      <c r="N2389" t="inlineStr">
        <is>
          <t>ref</t>
        </is>
      </c>
      <c r="O2389" t="n">
        <v>-5</v>
      </c>
      <c r="P2389" t="n">
        <v>0.002644</v>
      </c>
      <c r="Q2389" t="n">
        <v>-5</v>
      </c>
      <c r="R2389" t="n">
        <v>0.02087</v>
      </c>
      <c r="S2389">
        <f>IMAGE("https://mitra.stanford.edu/kundaje/oak/projects/neuro-variants/variant_position/credible/roussos_2024/variant_figures/roussos_2024.childhood.Astrocyte/rs10192764_count_position.png",4,220,900)</f>
        <v/>
      </c>
      <c r="T2389">
        <f>IMAGE("https://mitra.stanford.edu/kundaje/oak/projects/neuro-variants/variant_position/credible/roussos_2024/variant_figures/roussos_2024.childhood.Astrocyte/rs10192764_profile_position.png",4,220,900)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-0.0282780288</v>
      </c>
      <c r="G2390" t="n">
        <v>0.4213726738208823</v>
      </c>
      <c r="H2390" t="n">
        <v>0.0264134074183572</v>
      </c>
      <c r="I2390" t="n">
        <v>0.0484638762958904</v>
      </c>
      <c r="J2390" t="n">
        <v>0.218154686939464</v>
      </c>
      <c r="K2390" t="n">
        <v>0.1844042186025367</v>
      </c>
      <c r="L2390" t="b">
        <v>0</v>
      </c>
      <c r="M2390" t="b">
        <v>0</v>
      </c>
      <c r="N2390" t="inlineStr">
        <is>
          <t>ref</t>
        </is>
      </c>
      <c r="O2390" t="n">
        <v>-40</v>
      </c>
      <c r="P2390" t="n">
        <v>0.001099</v>
      </c>
      <c r="Q2390" t="n">
        <v>80</v>
      </c>
      <c r="R2390" t="n">
        <v>0.1788</v>
      </c>
      <c r="S2390">
        <f>IMAGE("https://mitra.stanford.edu/kundaje/oak/projects/neuro-variants/variant_position/credible/roussos_2024/variant_figures/roussos_2024.childhood.Astrocyte/rs6747286_count_position.png",4,220,900)</f>
        <v/>
      </c>
      <c r="T2390">
        <f>IMAGE("https://mitra.stanford.edu/kundaje/oak/projects/neuro-variants/variant_position/credible/roussos_2024/variant_figures/roussos_2024.childhood.Astrocyte/rs6747286_profile_position.png",4,220,900)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0.0381106504</v>
      </c>
      <c r="G2391" t="n">
        <v>0.300796216330812</v>
      </c>
      <c r="H2391" t="n">
        <v>0.0115256203544278</v>
      </c>
      <c r="I2391" t="n">
        <v>0.5594031425503079</v>
      </c>
      <c r="J2391" t="n">
        <v>0.0531168662651797</v>
      </c>
      <c r="K2391" t="n">
        <v>0.4462892605302428</v>
      </c>
      <c r="L2391" t="b">
        <v>0</v>
      </c>
      <c r="M2391" t="b">
        <v>0</v>
      </c>
      <c r="N2391" t="inlineStr">
        <is>
          <t>alt</t>
        </is>
      </c>
      <c r="O2391" t="n">
        <v>100</v>
      </c>
      <c r="P2391" t="n">
        <v>0.02464</v>
      </c>
      <c r="Q2391" t="n">
        <v>100</v>
      </c>
      <c r="R2391" t="n">
        <v>0.11084</v>
      </c>
      <c r="S2391">
        <f>IMAGE("https://mitra.stanford.edu/kundaje/oak/projects/neuro-variants/variant_position/credible/roussos_2024/variant_figures/roussos_2024.childhood.Astrocyte/rs1962550_count_position.png",4,220,900)</f>
        <v/>
      </c>
      <c r="T2391">
        <f>IMAGE("https://mitra.stanford.edu/kundaje/oak/projects/neuro-variants/variant_position/credible/roussos_2024/variant_figures/roussos_2024.childhood.Astrocyte/rs1962550_profile_position.png",4,220,900)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0.0817571126</v>
      </c>
      <c r="G2392" t="n">
        <v>0.0979296020285544</v>
      </c>
      <c r="H2392" t="n">
        <v>0.0149694160945191</v>
      </c>
      <c r="I2392" t="n">
        <v>0.3027006354411919</v>
      </c>
      <c r="J2392" t="n">
        <v>0.6706822987031822</v>
      </c>
      <c r="K2392" t="n">
        <v>0.0220224312370198</v>
      </c>
      <c r="L2392" t="b">
        <v>0</v>
      </c>
      <c r="M2392" t="b">
        <v>0</v>
      </c>
      <c r="N2392" t="inlineStr">
        <is>
          <t>alt</t>
        </is>
      </c>
      <c r="O2392" t="n">
        <v>100</v>
      </c>
      <c r="P2392" t="n">
        <v>0.06714000000000001</v>
      </c>
      <c r="Q2392" t="n">
        <v>100</v>
      </c>
      <c r="R2392" t="n">
        <v>0.5522</v>
      </c>
      <c r="S2392">
        <f>IMAGE("https://mitra.stanford.edu/kundaje/oak/projects/neuro-variants/variant_position/credible/roussos_2024/variant_figures/roussos_2024.childhood.Astrocyte/rs13031349_count_position.png",4,220,900)</f>
        <v/>
      </c>
      <c r="T2392">
        <f>IMAGE("https://mitra.stanford.edu/kundaje/oak/projects/neuro-variants/variant_position/credible/roussos_2024/variant_figures/roussos_2024.childhood.Astrocyte/rs13031349_profile_position.png",4,220,900)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0.01821924466</v>
      </c>
      <c r="G2393" t="n">
        <v>0.3652795499340112</v>
      </c>
      <c r="H2393" t="n">
        <v>0.009373800414510599</v>
      </c>
      <c r="I2393" t="n">
        <v>0.7698758812443044</v>
      </c>
      <c r="J2393" t="n">
        <v>0.4491050506438293</v>
      </c>
      <c r="K2393" t="n">
        <v>0.07038921078204979</v>
      </c>
      <c r="L2393" t="b">
        <v>0</v>
      </c>
      <c r="M2393" t="b">
        <v>0</v>
      </c>
      <c r="N2393" t="inlineStr">
        <is>
          <t>alt</t>
        </is>
      </c>
      <c r="O2393" t="n">
        <v>100</v>
      </c>
      <c r="P2393" t="n">
        <v>0.13</v>
      </c>
      <c r="Q2393" t="n">
        <v>35</v>
      </c>
      <c r="R2393" t="n">
        <v>0.08545</v>
      </c>
      <c r="S2393">
        <f>IMAGE("https://mitra.stanford.edu/kundaje/oak/projects/neuro-variants/variant_position/credible/roussos_2024/variant_figures/roussos_2024.childhood.Astrocyte/rs3738994_count_position.png",4,220,900)</f>
        <v/>
      </c>
      <c r="T2393">
        <f>IMAGE("https://mitra.stanford.edu/kundaje/oak/projects/neuro-variants/variant_position/credible/roussos_2024/variant_figures/roussos_2024.childhood.Astrocyte/rs3738994_profile_position.png",4,220,900)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-0.225806704</v>
      </c>
      <c r="G2394" t="n">
        <v>0.0137939739776723</v>
      </c>
      <c r="H2394" t="n">
        <v>0.0279247755957566</v>
      </c>
      <c r="I2394" t="n">
        <v>0.0393591177559246</v>
      </c>
      <c r="J2394" t="n">
        <v>0.4372756901986825</v>
      </c>
      <c r="K2394" t="n">
        <v>0.07436347467841781</v>
      </c>
      <c r="L2394" t="b">
        <v>1</v>
      </c>
      <c r="M2394" t="b">
        <v>0</v>
      </c>
      <c r="N2394" t="inlineStr">
        <is>
          <t>ref</t>
        </is>
      </c>
      <c r="O2394" t="n">
        <v>30</v>
      </c>
      <c r="P2394" t="n">
        <v>0.09766</v>
      </c>
      <c r="Q2394" t="n">
        <v>30</v>
      </c>
      <c r="R2394" t="n">
        <v>0.0906</v>
      </c>
      <c r="S2394">
        <f>IMAGE("https://mitra.stanford.edu/kundaje/oak/projects/neuro-variants/variant_position/credible/roussos_2024/variant_figures/roussos_2024.childhood.Astrocyte/rs3738993_count_position.png",4,220,900)</f>
        <v/>
      </c>
      <c r="T2394">
        <f>IMAGE("https://mitra.stanford.edu/kundaje/oak/projects/neuro-variants/variant_position/credible/roussos_2024/variant_figures/roussos_2024.childhood.Astrocyte/rs3738993_profile_position.png",4,220,900)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-0.0655673916</v>
      </c>
      <c r="G2395" t="n">
        <v>0.155108330610327</v>
      </c>
      <c r="H2395" t="n">
        <v>0.0133242954149562</v>
      </c>
      <c r="I2395" t="n">
        <v>0.4058678187866713</v>
      </c>
      <c r="J2395" t="n">
        <v>0.1970010609634158</v>
      </c>
      <c r="K2395" t="n">
        <v>0.2036689792644429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0.0853</v>
      </c>
      <c r="Q2395" t="n">
        <v>100</v>
      </c>
      <c r="R2395" t="n">
        <v>0.1948</v>
      </c>
      <c r="S2395">
        <f>IMAGE("https://mitra.stanford.edu/kundaje/oak/projects/neuro-variants/variant_position/credible/roussos_2024/variant_figures/roussos_2024.childhood.Astrocyte/rs12053257_count_position.png",4,220,900)</f>
        <v/>
      </c>
      <c r="T2395">
        <f>IMAGE("https://mitra.stanford.edu/kundaje/oak/projects/neuro-variants/variant_position/credible/roussos_2024/variant_figures/roussos_2024.childhood.Astrocyte/rs12053257_profile_position.png",4,220,900)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-0.00929552736</v>
      </c>
      <c r="G2396" t="n">
        <v>0.5816723723858027</v>
      </c>
      <c r="H2396" t="n">
        <v>0.008905933916576301</v>
      </c>
      <c r="I2396" t="n">
        <v>0.8192545907899864</v>
      </c>
      <c r="J2396" t="n">
        <v>0.5261645790875715</v>
      </c>
      <c r="K2396" t="n">
        <v>0.0493498287583281</v>
      </c>
      <c r="L2396" t="b">
        <v>0</v>
      </c>
      <c r="M2396" t="b">
        <v>0</v>
      </c>
      <c r="N2396" t="inlineStr">
        <is>
          <t>ref</t>
        </is>
      </c>
      <c r="O2396" t="n">
        <v>95</v>
      </c>
      <c r="P2396" t="n">
        <v>0.09375</v>
      </c>
      <c r="Q2396" t="n">
        <v>100</v>
      </c>
      <c r="R2396" t="n">
        <v>0.2966</v>
      </c>
      <c r="S2396">
        <f>IMAGE("https://mitra.stanford.edu/kundaje/oak/projects/neuro-variants/variant_position/credible/roussos_2024/variant_figures/roussos_2024.childhood.Astrocyte/rs2123511_count_position.png",4,220,900)</f>
        <v/>
      </c>
      <c r="T2396">
        <f>IMAGE("https://mitra.stanford.edu/kundaje/oak/projects/neuro-variants/variant_position/credible/roussos_2024/variant_figures/roussos_2024.childhood.Astrocyte/rs2123511_profile_position.png",4,220,900)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0.126898914</v>
      </c>
      <c r="G2397" t="n">
        <v>0.0427672856761858</v>
      </c>
      <c r="H2397" t="n">
        <v>0.0172938809407038</v>
      </c>
      <c r="I2397" t="n">
        <v>0.1994238338203398</v>
      </c>
      <c r="J2397" t="n">
        <v>0.1193232732629585</v>
      </c>
      <c r="K2397" t="n">
        <v>0.3031275940811893</v>
      </c>
      <c r="L2397" t="b">
        <v>0</v>
      </c>
      <c r="M2397" t="b">
        <v>0</v>
      </c>
      <c r="N2397" t="inlineStr">
        <is>
          <t>alt</t>
        </is>
      </c>
      <c r="O2397" t="n">
        <v>-65</v>
      </c>
      <c r="P2397" t="n">
        <v>0.000824</v>
      </c>
      <c r="Q2397" t="n">
        <v>0</v>
      </c>
      <c r="R2397" t="n">
        <v>0</v>
      </c>
      <c r="S2397">
        <f>IMAGE("https://mitra.stanford.edu/kundaje/oak/projects/neuro-variants/variant_position/credible/roussos_2024/variant_figures/roussos_2024.childhood.Astrocyte/rs11692136_count_position.png",4,220,900)</f>
        <v/>
      </c>
      <c r="T2397">
        <f>IMAGE("https://mitra.stanford.edu/kundaje/oak/projects/neuro-variants/variant_position/credible/roussos_2024/variant_figures/roussos_2024.childhood.Astrocyte/rs11692136_profile_position.png",4,220,900)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-0.0190189738399999</v>
      </c>
      <c r="G2398" t="n">
        <v>0.5186255829363365</v>
      </c>
      <c r="H2398" t="n">
        <v>0.009909800475663999</v>
      </c>
      <c r="I2398" t="n">
        <v>0.7228487750837679</v>
      </c>
      <c r="J2398" t="n">
        <v>0.053229832154061</v>
      </c>
      <c r="K2398" t="n">
        <v>0.4382716633924273</v>
      </c>
      <c r="L2398" t="b">
        <v>0</v>
      </c>
      <c r="M2398" t="b">
        <v>0</v>
      </c>
      <c r="N2398" t="inlineStr">
        <is>
          <t>ref</t>
        </is>
      </c>
      <c r="O2398" t="n">
        <v>40</v>
      </c>
      <c r="P2398" t="n">
        <v>0.001354</v>
      </c>
      <c r="Q2398" t="n">
        <v>-45</v>
      </c>
      <c r="R2398" t="n">
        <v>0.04614</v>
      </c>
      <c r="S2398">
        <f>IMAGE("https://mitra.stanford.edu/kundaje/oak/projects/neuro-variants/variant_position/credible/roussos_2024/variant_figures/roussos_2024.childhood.Astrocyte/rs876739_count_position.png",4,220,900)</f>
        <v/>
      </c>
      <c r="T2398">
        <f>IMAGE("https://mitra.stanford.edu/kundaje/oak/projects/neuro-variants/variant_position/credible/roussos_2024/variant_figures/roussos_2024.childhood.Astrocyte/rs876739_profile_position.png",4,220,900)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-0.076388389</v>
      </c>
      <c r="G2399" t="n">
        <v>0.1222218170292289</v>
      </c>
      <c r="H2399" t="n">
        <v>0.0169237170364879</v>
      </c>
      <c r="I2399" t="n">
        <v>0.2145001753435113</v>
      </c>
      <c r="J2399" t="n">
        <v>0.3782304046163357</v>
      </c>
      <c r="K2399" t="n">
        <v>0.0958165477135042</v>
      </c>
      <c r="L2399" t="b">
        <v>0</v>
      </c>
      <c r="M2399" t="b">
        <v>0</v>
      </c>
      <c r="N2399" t="inlineStr">
        <is>
          <t>ref</t>
        </is>
      </c>
      <c r="O2399" t="n">
        <v>-25</v>
      </c>
      <c r="P2399" t="n">
        <v>0.01126</v>
      </c>
      <c r="Q2399" t="n">
        <v>100</v>
      </c>
      <c r="R2399" t="n">
        <v>0.1504</v>
      </c>
      <c r="S2399">
        <f>IMAGE("https://mitra.stanford.edu/kundaje/oak/projects/neuro-variants/variant_position/credible/roussos_2024/variant_figures/roussos_2024.childhood.Astrocyte/rs3754659_count_position.png",4,220,900)</f>
        <v/>
      </c>
      <c r="T2399">
        <f>IMAGE("https://mitra.stanford.edu/kundaje/oak/projects/neuro-variants/variant_position/credible/roussos_2024/variant_figures/roussos_2024.childhood.Astrocyte/rs3754659_profile_position.png",4,220,900)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0.2193406619999999</v>
      </c>
      <c r="G2400" t="n">
        <v>0.0126209652150786</v>
      </c>
      <c r="H2400" t="n">
        <v>0.0230959808186373</v>
      </c>
      <c r="I2400" t="n">
        <v>0.07807873839072429</v>
      </c>
      <c r="J2400" t="n">
        <v>0.4869303046262585</v>
      </c>
      <c r="K2400" t="n">
        <v>0.0590461110065935</v>
      </c>
      <c r="L2400" t="b">
        <v>1</v>
      </c>
      <c r="M2400" t="b">
        <v>0</v>
      </c>
      <c r="N2400" t="inlineStr">
        <is>
          <t>alt</t>
        </is>
      </c>
      <c r="O2400" t="n">
        <v>-5</v>
      </c>
      <c r="P2400" t="n">
        <v>0.001343</v>
      </c>
      <c r="Q2400" t="n">
        <v>-10</v>
      </c>
      <c r="R2400" t="n">
        <v>0.03027</v>
      </c>
      <c r="S2400">
        <f>IMAGE("https://mitra.stanford.edu/kundaje/oak/projects/neuro-variants/variant_position/credible/roussos_2024/variant_figures/roussos_2024.childhood.Astrocyte/rs2247983_count_position.png",4,220,900)</f>
        <v/>
      </c>
      <c r="T2400">
        <f>IMAGE("https://mitra.stanford.edu/kundaje/oak/projects/neuro-variants/variant_position/credible/roussos_2024/variant_figures/roussos_2024.childhood.Astrocyte/rs2247983_profile_position.png",4,220,900)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0.016779869406</v>
      </c>
      <c r="G2401" t="n">
        <v>0.5889212571753591</v>
      </c>
      <c r="H2401" t="n">
        <v>0.007506889381204</v>
      </c>
      <c r="I2401" t="n">
        <v>0.914145426686676</v>
      </c>
      <c r="J2401" t="n">
        <v>0.0294085319777426</v>
      </c>
      <c r="K2401" t="n">
        <v>0.539577691228175</v>
      </c>
      <c r="L2401" t="b">
        <v>0</v>
      </c>
      <c r="M2401" t="b">
        <v>0</v>
      </c>
      <c r="N2401" t="inlineStr">
        <is>
          <t>alt</t>
        </is>
      </c>
      <c r="O2401" t="n">
        <v>-55</v>
      </c>
      <c r="P2401" t="n">
        <v>0.003174</v>
      </c>
      <c r="Q2401" t="n">
        <v>-100</v>
      </c>
      <c r="R2401" t="n">
        <v>0.2183</v>
      </c>
      <c r="S2401">
        <f>IMAGE("https://mitra.stanford.edu/kundaje/oak/projects/neuro-variants/variant_position/credible/roussos_2024/variant_figures/roussos_2024.childhood.Astrocyte/rs6129108_count_position.png",4,220,900)</f>
        <v/>
      </c>
      <c r="T2401">
        <f>IMAGE("https://mitra.stanford.edu/kundaje/oak/projects/neuro-variants/variant_position/credible/roussos_2024/variant_figures/roussos_2024.childhood.Astrocyte/rs6129108_profile_position.png",4,220,900)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0.00369519884</v>
      </c>
      <c r="G2402" t="n">
        <v>0.3468106891750477</v>
      </c>
      <c r="H2402" t="n">
        <v>0.0202277553679873</v>
      </c>
      <c r="I2402" t="n">
        <v>0.1223921315332353</v>
      </c>
      <c r="J2402" t="n">
        <v>0.5593437292482425</v>
      </c>
      <c r="K2402" t="n">
        <v>0.0412856041925592</v>
      </c>
      <c r="L2402" t="b">
        <v>0</v>
      </c>
      <c r="M2402" t="b">
        <v>0</v>
      </c>
      <c r="N2402" t="inlineStr">
        <is>
          <t>alt</t>
        </is>
      </c>
      <c r="O2402" t="n">
        <v>45</v>
      </c>
      <c r="P2402" t="n">
        <v>0.002586</v>
      </c>
      <c r="Q2402" t="n">
        <v>100</v>
      </c>
      <c r="R2402" t="n">
        <v>0.04407</v>
      </c>
      <c r="S2402">
        <f>IMAGE("https://mitra.stanford.edu/kundaje/oak/projects/neuro-variants/variant_position/credible/roussos_2024/variant_figures/roussos_2024.childhood.Astrocyte/rs6129111_count_position.png",4,220,900)</f>
        <v/>
      </c>
      <c r="T2402">
        <f>IMAGE("https://mitra.stanford.edu/kundaje/oak/projects/neuro-variants/variant_position/credible/roussos_2024/variant_figures/roussos_2024.childhood.Astrocyte/rs6129111_profile_position.png",4,220,900)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-0.0337603661999999</v>
      </c>
      <c r="G2403" t="n">
        <v>0.3679142613952745</v>
      </c>
      <c r="H2403" t="n">
        <v>0.0177349899456359</v>
      </c>
      <c r="I2403" t="n">
        <v>0.186908796792822</v>
      </c>
      <c r="J2403" t="n">
        <v>0.1958904841504277</v>
      </c>
      <c r="K2403" t="n">
        <v>0.2047397309981563</v>
      </c>
      <c r="L2403" t="b">
        <v>0</v>
      </c>
      <c r="M2403" t="b">
        <v>0</v>
      </c>
      <c r="N2403" t="inlineStr">
        <is>
          <t>ref</t>
        </is>
      </c>
      <c r="O2403" t="n">
        <v>30</v>
      </c>
      <c r="P2403" t="n">
        <v>0.006195</v>
      </c>
      <c r="Q2403" t="n">
        <v>50</v>
      </c>
      <c r="R2403" t="n">
        <v>0.099</v>
      </c>
      <c r="S2403">
        <f>IMAGE("https://mitra.stanford.edu/kundaje/oak/projects/neuro-variants/variant_position/credible/roussos_2024/variant_figures/roussos_2024.childhood.Astrocyte/rs1006945_count_position.png",4,220,900)</f>
        <v/>
      </c>
      <c r="T2403">
        <f>IMAGE("https://mitra.stanford.edu/kundaje/oak/projects/neuro-variants/variant_position/credible/roussos_2024/variant_figures/roussos_2024.childhood.Astrocyte/rs1006945_profile_position.png",4,220,900)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-0.1034888076</v>
      </c>
      <c r="G2404" t="n">
        <v>0.0678433159753864</v>
      </c>
      <c r="H2404" t="n">
        <v>0.016805959782555</v>
      </c>
      <c r="I2404" t="n">
        <v>0.2201076082444483</v>
      </c>
      <c r="J2404" t="n">
        <v>0.2227763657041667</v>
      </c>
      <c r="K2404" t="n">
        <v>0.1878341897245926</v>
      </c>
      <c r="L2404" t="b">
        <v>0</v>
      </c>
      <c r="M2404" t="b">
        <v>0</v>
      </c>
      <c r="N2404" t="inlineStr">
        <is>
          <t>ref</t>
        </is>
      </c>
      <c r="O2404" t="n">
        <v>30</v>
      </c>
      <c r="P2404" t="n">
        <v>0.002602</v>
      </c>
      <c r="Q2404" t="n">
        <v>35</v>
      </c>
      <c r="R2404" t="n">
        <v>0.0742</v>
      </c>
      <c r="S2404">
        <f>IMAGE("https://mitra.stanford.edu/kundaje/oak/projects/neuro-variants/variant_position/credible/roussos_2024/variant_figures/roussos_2024.childhood.Astrocyte/rs4812319_count_position.png",4,220,900)</f>
        <v/>
      </c>
      <c r="T2404">
        <f>IMAGE("https://mitra.stanford.edu/kundaje/oak/projects/neuro-variants/variant_position/credible/roussos_2024/variant_figures/roussos_2024.childhood.Astrocyte/rs4812319_profile_position.png",4,220,900)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-0.06866645740000001</v>
      </c>
      <c r="G2405" t="n">
        <v>0.1532825886044733</v>
      </c>
      <c r="H2405" t="n">
        <v>0.0136045487882379</v>
      </c>
      <c r="I2405" t="n">
        <v>0.3808713631731841</v>
      </c>
      <c r="J2405" t="n">
        <v>0.2104669002312747</v>
      </c>
      <c r="K2405" t="n">
        <v>0.1960157996613337</v>
      </c>
      <c r="L2405" t="b">
        <v>0</v>
      </c>
      <c r="M2405" t="b">
        <v>0</v>
      </c>
      <c r="N2405" t="inlineStr">
        <is>
          <t>ref</t>
        </is>
      </c>
      <c r="O2405" t="n">
        <v>-90</v>
      </c>
      <c r="P2405" t="n">
        <v>0.01286</v>
      </c>
      <c r="Q2405" t="n">
        <v>-20</v>
      </c>
      <c r="R2405" t="n">
        <v>0.1262</v>
      </c>
      <c r="S2405">
        <f>IMAGE("https://mitra.stanford.edu/kundaje/oak/projects/neuro-variants/variant_position/credible/roussos_2024/variant_figures/roussos_2024.childhood.Astrocyte/rs6028167_count_position.png",4,220,900)</f>
        <v/>
      </c>
      <c r="T2405">
        <f>IMAGE("https://mitra.stanford.edu/kundaje/oak/projects/neuro-variants/variant_position/credible/roussos_2024/variant_figures/roussos_2024.childhood.Astrocyte/rs6028167_profile_position.png",4,220,900)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-0.011288234192</v>
      </c>
      <c r="G2406" t="n">
        <v>0.694961356223345</v>
      </c>
      <c r="H2406" t="n">
        <v>0.0100529428960135</v>
      </c>
      <c r="I2406" t="n">
        <v>0.7151738538451667</v>
      </c>
      <c r="J2406" t="n">
        <v>0.0015387785944905</v>
      </c>
      <c r="K2406" t="n">
        <v>0.8916201297170577</v>
      </c>
      <c r="L2406" t="b">
        <v>0</v>
      </c>
      <c r="M2406" t="b">
        <v>0</v>
      </c>
      <c r="N2406" t="inlineStr">
        <is>
          <t>ref</t>
        </is>
      </c>
      <c r="O2406" t="n">
        <v>30</v>
      </c>
      <c r="P2406" t="n">
        <v>0.001186</v>
      </c>
      <c r="Q2406" t="n">
        <v>70</v>
      </c>
      <c r="R2406" t="n">
        <v>0.1293</v>
      </c>
      <c r="S2406">
        <f>IMAGE("https://mitra.stanford.edu/kundaje/oak/projects/neuro-variants/variant_position/credible/roussos_2024/variant_figures/roussos_2024.childhood.Astrocyte/rs4812324_count_position.png",4,220,900)</f>
        <v/>
      </c>
      <c r="T2406">
        <f>IMAGE("https://mitra.stanford.edu/kundaje/oak/projects/neuro-variants/variant_position/credible/roussos_2024/variant_figures/roussos_2024.childhood.Astrocyte/rs4812324_profile_position.png",4,220,900)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-0.1369413039999999</v>
      </c>
      <c r="G2407" t="n">
        <v>0.0393834538409332</v>
      </c>
      <c r="H2407" t="n">
        <v>0.0245317317460126</v>
      </c>
      <c r="I2407" t="n">
        <v>0.0628663856651186</v>
      </c>
      <c r="J2407" t="n">
        <v>0.5409142604169052</v>
      </c>
      <c r="K2407" t="n">
        <v>0.0446852588459388</v>
      </c>
      <c r="L2407" t="b">
        <v>0</v>
      </c>
      <c r="M2407" t="b">
        <v>0</v>
      </c>
      <c r="N2407" t="inlineStr">
        <is>
          <t>ref</t>
        </is>
      </c>
      <c r="O2407" t="n">
        <v>100</v>
      </c>
      <c r="P2407" t="n">
        <v>0.01563</v>
      </c>
      <c r="Q2407" t="n">
        <v>85</v>
      </c>
      <c r="R2407" t="n">
        <v>0.333</v>
      </c>
      <c r="S2407">
        <f>IMAGE("https://mitra.stanford.edu/kundaje/oak/projects/neuro-variants/variant_position/credible/roussos_2024/variant_figures/roussos_2024.childhood.Astrocyte/rs2425614_count_position.png",4,220,900)</f>
        <v/>
      </c>
      <c r="T2407">
        <f>IMAGE("https://mitra.stanford.edu/kundaje/oak/projects/neuro-variants/variant_position/credible/roussos_2024/variant_figures/roussos_2024.childhood.Astrocyte/rs2425614_profile_position.png",4,220,900)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0.0443455607999999</v>
      </c>
      <c r="G2408" t="n">
        <v>0.257583993617522</v>
      </c>
      <c r="H2408" t="n">
        <v>0.009484289392955999</v>
      </c>
      <c r="I2408" t="n">
        <v>0.7698980669729891</v>
      </c>
      <c r="J2408" t="n">
        <v>0.0295619518673718</v>
      </c>
      <c r="K2408" t="n">
        <v>0.5394045534225095</v>
      </c>
      <c r="L2408" t="b">
        <v>0</v>
      </c>
      <c r="M2408" t="b">
        <v>0</v>
      </c>
      <c r="N2408" t="inlineStr">
        <is>
          <t>alt</t>
        </is>
      </c>
      <c r="O2408" t="n">
        <v>10</v>
      </c>
      <c r="P2408" t="n">
        <v>7.63e-05</v>
      </c>
      <c r="Q2408" t="n">
        <v>-10</v>
      </c>
      <c r="R2408" t="n">
        <v>0.05127</v>
      </c>
      <c r="S2408">
        <f>IMAGE("https://mitra.stanford.edu/kundaje/oak/projects/neuro-variants/variant_position/credible/roussos_2024/variant_figures/roussos_2024.childhood.Astrocyte/rs926288_count_position.png",4,220,900)</f>
        <v/>
      </c>
      <c r="T2408">
        <f>IMAGE("https://mitra.stanford.edu/kundaje/oak/projects/neuro-variants/variant_position/credible/roussos_2024/variant_figures/roussos_2024.childhood.Astrocyte/rs926288_profile_position.png",4,220,900)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0.0415153974</v>
      </c>
      <c r="G2409" t="n">
        <v>0.2638082677084287</v>
      </c>
      <c r="H2409" t="n">
        <v>0.0124675817305387</v>
      </c>
      <c r="I2409" t="n">
        <v>0.4663605686224562</v>
      </c>
      <c r="J2409" t="n">
        <v>0.1267858914764183</v>
      </c>
      <c r="K2409" t="n">
        <v>0.2805175836092876</v>
      </c>
      <c r="L2409" t="b">
        <v>0</v>
      </c>
      <c r="M2409" t="b">
        <v>0</v>
      </c>
      <c r="N2409" t="inlineStr">
        <is>
          <t>alt</t>
        </is>
      </c>
      <c r="O2409" t="n">
        <v>-100</v>
      </c>
      <c r="P2409" t="n">
        <v>0.00404</v>
      </c>
      <c r="Q2409" t="n">
        <v>-100</v>
      </c>
      <c r="R2409" t="n">
        <v>0.128</v>
      </c>
      <c r="S2409">
        <f>IMAGE("https://mitra.stanford.edu/kundaje/oak/projects/neuro-variants/variant_position/credible/roussos_2024/variant_figures/roussos_2024.childhood.Astrocyte/rs3950190_count_position.png",4,220,900)</f>
        <v/>
      </c>
      <c r="T2409">
        <f>IMAGE("https://mitra.stanford.edu/kundaje/oak/projects/neuro-variants/variant_position/credible/roussos_2024/variant_figures/roussos_2024.childhood.Astrocyte/rs3950190_profile_position.png",4,220,900)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0.0932372142</v>
      </c>
      <c r="G2410" t="n">
        <v>0.0887677055150496</v>
      </c>
      <c r="H2410" t="n">
        <v>0.0153331756265548</v>
      </c>
      <c r="I2410" t="n">
        <v>0.2800553486697829</v>
      </c>
      <c r="J2410" t="n">
        <v>0.1330661842717898</v>
      </c>
      <c r="K2410" t="n">
        <v>0.2752042076682812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0.01721</v>
      </c>
      <c r="Q2410" t="n">
        <v>100</v>
      </c>
      <c r="R2410" t="n">
        <v>0.02539</v>
      </c>
      <c r="S2410">
        <f>IMAGE("https://mitra.stanford.edu/kundaje/oak/projects/neuro-variants/variant_position/credible/roussos_2024/variant_figures/roussos_2024.childhood.Astrocyte/rs1569440_count_position.png",4,220,900)</f>
        <v/>
      </c>
      <c r="T2410">
        <f>IMAGE("https://mitra.stanford.edu/kundaje/oak/projects/neuro-variants/variant_position/credible/roussos_2024/variant_figures/roussos_2024.childhood.Astrocyte/rs1569440_profile_position.png",4,220,900)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-0.009154430099999999</v>
      </c>
      <c r="G2411" t="n">
        <v>0.7379896404157271</v>
      </c>
      <c r="H2411" t="n">
        <v>0.0264000338685431</v>
      </c>
      <c r="I2411" t="n">
        <v>0.0498356672568927</v>
      </c>
      <c r="J2411" t="n">
        <v>0.0011807988520222</v>
      </c>
      <c r="K2411" t="n">
        <v>0.8992168819723763</v>
      </c>
      <c r="L2411" t="b">
        <v>0</v>
      </c>
      <c r="M2411" t="b">
        <v>0</v>
      </c>
      <c r="N2411" t="inlineStr">
        <is>
          <t>ref</t>
        </is>
      </c>
      <c r="O2411" t="n">
        <v>-85</v>
      </c>
      <c r="P2411" t="n">
        <v>0.1262</v>
      </c>
      <c r="Q2411" t="n">
        <v>-70</v>
      </c>
      <c r="R2411" t="n">
        <v>0.0625</v>
      </c>
      <c r="S2411">
        <f>IMAGE("https://mitra.stanford.edu/kundaje/oak/projects/neuro-variants/variant_position/credible/roussos_2024/variant_figures/roussos_2024.childhood.Astrocyte/rs6017460_count_position.png",4,220,900)</f>
        <v/>
      </c>
      <c r="T2411">
        <f>IMAGE("https://mitra.stanford.edu/kundaje/oak/projects/neuro-variants/variant_position/credible/roussos_2024/variant_figures/roussos_2024.childhood.Astrocyte/rs6017460_profile_position.png",4,220,900)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-0.0005346566</v>
      </c>
      <c r="G2412" t="n">
        <v>0.2458249933417149</v>
      </c>
      <c r="H2412" t="n">
        <v>0.0184862659215536</v>
      </c>
      <c r="I2412" t="n">
        <v>0.1629758071726286</v>
      </c>
      <c r="J2412" t="n">
        <v>0.2962446474777312</v>
      </c>
      <c r="K2412" t="n">
        <v>0.1347744116795957</v>
      </c>
      <c r="L2412" t="b">
        <v>0</v>
      </c>
      <c r="M2412" t="b">
        <v>0</v>
      </c>
      <c r="N2412" t="inlineStr">
        <is>
          <t>ref</t>
        </is>
      </c>
      <c r="O2412" t="n">
        <v>-60</v>
      </c>
      <c r="P2412" t="n">
        <v>0.0192</v>
      </c>
      <c r="Q2412" t="n">
        <v>-60</v>
      </c>
      <c r="R2412" t="n">
        <v>0.2345</v>
      </c>
      <c r="S2412">
        <f>IMAGE("https://mitra.stanford.edu/kundaje/oak/projects/neuro-variants/variant_position/credible/roussos_2024/variant_figures/roussos_2024.childhood.Astrocyte/rs12624433_count_position.png",4,220,900)</f>
        <v/>
      </c>
      <c r="T2412">
        <f>IMAGE("https://mitra.stanford.edu/kundaje/oak/projects/neuro-variants/variant_position/credible/roussos_2024/variant_figures/roussos_2024.childhood.Astrocyte/rs12624433_profile_position.png",4,220,900)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0.0239308479</v>
      </c>
      <c r="G2413" t="n">
        <v>0.4669824788343661</v>
      </c>
      <c r="H2413" t="n">
        <v>0.0112457410709354</v>
      </c>
      <c r="I2413" t="n">
        <v>0.5915317477955933</v>
      </c>
      <c r="J2413" t="n">
        <v>0.003041682886431</v>
      </c>
      <c r="K2413" t="n">
        <v>0.8665793801331898</v>
      </c>
      <c r="L2413" t="b">
        <v>0</v>
      </c>
      <c r="M2413" t="b">
        <v>0</v>
      </c>
      <c r="N2413" t="inlineStr">
        <is>
          <t>alt</t>
        </is>
      </c>
      <c r="O2413" t="n">
        <v>100</v>
      </c>
      <c r="P2413" t="n">
        <v>0.01067</v>
      </c>
      <c r="Q2413" t="n">
        <v>15</v>
      </c>
      <c r="R2413" t="n">
        <v>0.0611</v>
      </c>
      <c r="S2413">
        <f>IMAGE("https://mitra.stanford.edu/kundaje/oak/projects/neuro-variants/variant_position/credible/roussos_2024/variant_figures/roussos_2024.childhood.Astrocyte/rs4578918_count_position.png",4,220,900)</f>
        <v/>
      </c>
      <c r="T2413">
        <f>IMAGE("https://mitra.stanford.edu/kundaje/oak/projects/neuro-variants/variant_position/credible/roussos_2024/variant_figures/roussos_2024.childhood.Astrocyte/rs4578918_profile_position.png",4,220,900)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-0.02643843466</v>
      </c>
      <c r="G2414" t="n">
        <v>0.4611763937679433</v>
      </c>
      <c r="H2414" t="n">
        <v>0.018771705398612</v>
      </c>
      <c r="I2414" t="n">
        <v>0.1586877597993002</v>
      </c>
      <c r="J2414" t="n">
        <v>0.0154816697579629</v>
      </c>
      <c r="K2414" t="n">
        <v>0.6447038503650099</v>
      </c>
      <c r="L2414" t="b">
        <v>0</v>
      </c>
      <c r="M2414" t="b">
        <v>0</v>
      </c>
      <c r="N2414" t="inlineStr">
        <is>
          <t>ref</t>
        </is>
      </c>
      <c r="O2414" t="n">
        <v>35</v>
      </c>
      <c r="P2414" t="n">
        <v>0.0008698</v>
      </c>
      <c r="Q2414" t="n">
        <v>-20</v>
      </c>
      <c r="R2414" t="n">
        <v>0.06177</v>
      </c>
      <c r="S2414">
        <f>IMAGE("https://mitra.stanford.edu/kundaje/oak/projects/neuro-variants/variant_position/credible/roussos_2024/variant_figures/roussos_2024.childhood.Astrocyte/rs6065926_count_position.png",4,220,900)</f>
        <v/>
      </c>
      <c r="T2414">
        <f>IMAGE("https://mitra.stanford.edu/kundaje/oak/projects/neuro-variants/variant_position/credible/roussos_2024/variant_figures/roussos_2024.childhood.Astrocyte/rs6065926_profile_position.png",4,220,900)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-0.0535534734</v>
      </c>
      <c r="G2415" t="n">
        <v>0.2017521212159319</v>
      </c>
      <c r="H2415" t="n">
        <v>0.0130080738880665</v>
      </c>
      <c r="I2415" t="n">
        <v>0.4301575170022687</v>
      </c>
      <c r="J2415" t="n">
        <v>0.0346660255089189</v>
      </c>
      <c r="K2415" t="n">
        <v>0.5440612938784927</v>
      </c>
      <c r="L2415" t="b">
        <v>0</v>
      </c>
      <c r="M2415" t="b">
        <v>0</v>
      </c>
      <c r="N2415" t="inlineStr">
        <is>
          <t>ref</t>
        </is>
      </c>
      <c r="O2415" t="n">
        <v>-95</v>
      </c>
      <c r="P2415" t="n">
        <v>0.002838</v>
      </c>
      <c r="Q2415" t="n">
        <v>100</v>
      </c>
      <c r="R2415" t="n">
        <v>0.0113</v>
      </c>
      <c r="S2415">
        <f>IMAGE("https://mitra.stanford.edu/kundaje/oak/projects/neuro-variants/variant_position/credible/roussos_2024/variant_figures/roussos_2024.childhood.Astrocyte/rs6074022_count_position.png",4,220,900)</f>
        <v/>
      </c>
      <c r="T2415">
        <f>IMAGE("https://mitra.stanford.edu/kundaje/oak/projects/neuro-variants/variant_position/credible/roussos_2024/variant_figures/roussos_2024.childhood.Astrocyte/rs6074022_profile_position.png",4,220,900)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0.0757057614</v>
      </c>
      <c r="G2416" t="n">
        <v>0.1176330943542851</v>
      </c>
      <c r="H2416" t="n">
        <v>0.0144057857232184</v>
      </c>
      <c r="I2416" t="n">
        <v>0.3349293639701905</v>
      </c>
      <c r="J2416" t="n">
        <v>0.2104325524947906</v>
      </c>
      <c r="K2416" t="n">
        <v>0.1944474031538768</v>
      </c>
      <c r="L2416" t="b">
        <v>0</v>
      </c>
      <c r="M2416" t="b">
        <v>0</v>
      </c>
      <c r="N2416" t="inlineStr">
        <is>
          <t>alt</t>
        </is>
      </c>
      <c r="O2416" t="n">
        <v>-15</v>
      </c>
      <c r="P2416" t="n">
        <v>0.001787</v>
      </c>
      <c r="Q2416" t="n">
        <v>-80</v>
      </c>
      <c r="R2416" t="n">
        <v>0.1627</v>
      </c>
      <c r="S2416">
        <f>IMAGE("https://mitra.stanford.edu/kundaje/oak/projects/neuro-variants/variant_position/credible/roussos_2024/variant_figures/roussos_2024.childhood.Astrocyte/rs4810485_count_position.png",4,220,900)</f>
        <v/>
      </c>
      <c r="T2416">
        <f>IMAGE("https://mitra.stanford.edu/kundaje/oak/projects/neuro-variants/variant_position/credible/roussos_2024/variant_figures/roussos_2024.childhood.Astrocyte/rs4810485_profile_position.png",4,220,900)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0.0069912079399999</v>
      </c>
      <c r="G2417" t="n">
        <v>0.7641209551712805</v>
      </c>
      <c r="H2417" t="n">
        <v>0.0290803611044788</v>
      </c>
      <c r="I2417" t="n">
        <v>0.0338786599936604</v>
      </c>
      <c r="J2417" t="n">
        <v>0.8238319861387801</v>
      </c>
      <c r="K2417" t="n">
        <v>0.0065492549917918</v>
      </c>
      <c r="L2417" t="b">
        <v>0</v>
      </c>
      <c r="M2417" t="b">
        <v>0</v>
      </c>
      <c r="N2417" t="inlineStr">
        <is>
          <t>alt</t>
        </is>
      </c>
      <c r="O2417" t="n">
        <v>100</v>
      </c>
      <c r="P2417" t="n">
        <v>0.00525</v>
      </c>
      <c r="Q2417" t="n">
        <v>-20</v>
      </c>
      <c r="R2417" t="n">
        <v>0.01865</v>
      </c>
      <c r="S2417">
        <f>IMAGE("https://mitra.stanford.edu/kundaje/oak/projects/neuro-variants/variant_position/credible/roussos_2024/variant_figures/roussos_2024.childhood.Astrocyte/rs74361372_count_position.png",4,220,900)</f>
        <v/>
      </c>
      <c r="T2417">
        <f>IMAGE("https://mitra.stanford.edu/kundaje/oak/projects/neuro-variants/variant_position/credible/roussos_2024/variant_figures/roussos_2024.childhood.Astrocyte/rs74361372_profile_position.png",4,220,900)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0.0013378452399999</v>
      </c>
      <c r="G2418" t="n">
        <v>0.7895919106654193</v>
      </c>
      <c r="H2418" t="n">
        <v>0.007877397196004001</v>
      </c>
      <c r="I2418" t="n">
        <v>0.8944930593765325</v>
      </c>
      <c r="J2418" t="n">
        <v>0.0036118553120682</v>
      </c>
      <c r="K2418" t="n">
        <v>0.8134903321146499</v>
      </c>
      <c r="L2418" t="b">
        <v>0</v>
      </c>
      <c r="M2418" t="b">
        <v>0</v>
      </c>
      <c r="N2418" t="inlineStr">
        <is>
          <t>alt</t>
        </is>
      </c>
      <c r="O2418" t="n">
        <v>-90</v>
      </c>
      <c r="P2418" t="n">
        <v>0.007378</v>
      </c>
      <c r="Q2418" t="n">
        <v>100</v>
      </c>
      <c r="R2418" t="n">
        <v>0.03455</v>
      </c>
      <c r="S2418">
        <f>IMAGE("https://mitra.stanford.edu/kundaje/oak/projects/neuro-variants/variant_position/credible/roussos_2024/variant_figures/roussos_2024.childhood.Astrocyte/rs6012677_count_position.png",4,220,900)</f>
        <v/>
      </c>
      <c r="T2418">
        <f>IMAGE("https://mitra.stanford.edu/kundaje/oak/projects/neuro-variants/variant_position/credible/roussos_2024/variant_figures/roussos_2024.childhood.Astrocyte/rs6012677_profile_position.png",4,220,900)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-0.0216496354</v>
      </c>
      <c r="G2419" t="n">
        <v>0.4490566282312452</v>
      </c>
      <c r="H2419" t="n">
        <v>0.0116038322704729</v>
      </c>
      <c r="I2419" t="n">
        <v>0.5557315267572615</v>
      </c>
      <c r="J2419" t="n">
        <v>0.0317197530016104</v>
      </c>
      <c r="K2419" t="n">
        <v>0.542875705680819</v>
      </c>
      <c r="L2419" t="b">
        <v>0</v>
      </c>
      <c r="M2419" t="b">
        <v>0</v>
      </c>
      <c r="N2419" t="inlineStr">
        <is>
          <t>ref</t>
        </is>
      </c>
      <c r="O2419" t="n">
        <v>-90</v>
      </c>
      <c r="P2419" t="n">
        <v>0.002895</v>
      </c>
      <c r="Q2419" t="n">
        <v>-95</v>
      </c>
      <c r="R2419" t="n">
        <v>0.1991</v>
      </c>
      <c r="S2419">
        <f>IMAGE("https://mitra.stanford.edu/kundaje/oak/projects/neuro-variants/variant_position/credible/roussos_2024/variant_figures/roussos_2024.childhood.Astrocyte/rs11696755_count_position.png",4,220,900)</f>
        <v/>
      </c>
      <c r="T2419">
        <f>IMAGE("https://mitra.stanford.edu/kundaje/oak/projects/neuro-variants/variant_position/credible/roussos_2024/variant_figures/roussos_2024.childhood.Astrocyte/rs11696755_profile_position.png",4,220,900)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-0.0446638632</v>
      </c>
      <c r="G2420" t="n">
        <v>0.2608528558673446</v>
      </c>
      <c r="H2420" t="n">
        <v>0.0119212128336514</v>
      </c>
      <c r="I2420" t="n">
        <v>0.5234188495079463</v>
      </c>
      <c r="J2420" t="n">
        <v>0.0140329585613641</v>
      </c>
      <c r="K2420" t="n">
        <v>0.6432144330955037</v>
      </c>
      <c r="L2420" t="b">
        <v>0</v>
      </c>
      <c r="M2420" t="b">
        <v>0</v>
      </c>
      <c r="N2420" t="inlineStr">
        <is>
          <t>ref</t>
        </is>
      </c>
      <c r="O2420" t="n">
        <v>15</v>
      </c>
      <c r="P2420" t="n">
        <v>0.004868</v>
      </c>
      <c r="Q2420" t="n">
        <v>85</v>
      </c>
      <c r="R2420" t="n">
        <v>0.07214</v>
      </c>
      <c r="S2420">
        <f>IMAGE("https://mitra.stanford.edu/kundaje/oak/projects/neuro-variants/variant_position/credible/roussos_2024/variant_figures/roussos_2024.childhood.Astrocyte/rs6095541_count_position.png",4,220,900)</f>
        <v/>
      </c>
      <c r="T2420">
        <f>IMAGE("https://mitra.stanford.edu/kundaje/oak/projects/neuro-variants/variant_position/credible/roussos_2024/variant_figures/roussos_2024.childhood.Astrocyte/rs6095541_profile_position.png",4,220,900)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-0.01814119908</v>
      </c>
      <c r="G2421" t="n">
        <v>0.5611621426071648</v>
      </c>
      <c r="H2421" t="n">
        <v>0.0370329549792264</v>
      </c>
      <c r="I2421" t="n">
        <v>0.0133366006017599</v>
      </c>
      <c r="J2421" t="n">
        <v>0.0831451840657033</v>
      </c>
      <c r="K2421" t="n">
        <v>0.3573961461218285</v>
      </c>
      <c r="L2421" t="b">
        <v>1</v>
      </c>
      <c r="M2421" t="b">
        <v>0</v>
      </c>
      <c r="N2421" t="inlineStr">
        <is>
          <t>ref</t>
        </is>
      </c>
      <c r="O2421" t="n">
        <v>-100</v>
      </c>
      <c r="P2421" t="n">
        <v>0.04993</v>
      </c>
      <c r="Q2421" t="n">
        <v>-100</v>
      </c>
      <c r="R2421" t="n">
        <v>0.07837</v>
      </c>
      <c r="S2421">
        <f>IMAGE("https://mitra.stanford.edu/kundaje/oak/projects/neuro-variants/variant_position/credible/roussos_2024/variant_figures/roussos_2024.childhood.Astrocyte/rs5596_count_position.png",4,220,900)</f>
        <v/>
      </c>
      <c r="T2421">
        <f>IMAGE("https://mitra.stanford.edu/kundaje/oak/projects/neuro-variants/variant_position/credible/roussos_2024/variant_figures/roussos_2024.childhood.Astrocyte/rs5596_profile_position.png",4,220,900)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0.1310181</v>
      </c>
      <c r="G2422" t="n">
        <v>0.0421963019900326</v>
      </c>
      <c r="H2422" t="n">
        <v>0.0323304308512705</v>
      </c>
      <c r="I2422" t="n">
        <v>0.0220372405273974</v>
      </c>
      <c r="J2422" t="n">
        <v>0.2758176669490814</v>
      </c>
      <c r="K2422" t="n">
        <v>0.1462073215803579</v>
      </c>
      <c r="L2422" t="b">
        <v>0</v>
      </c>
      <c r="M2422" t="b">
        <v>0</v>
      </c>
      <c r="N2422" t="inlineStr">
        <is>
          <t>alt</t>
        </is>
      </c>
      <c r="O2422" t="n">
        <v>95</v>
      </c>
      <c r="P2422" t="n">
        <v>0.06945999999999999</v>
      </c>
      <c r="Q2422" t="n">
        <v>100</v>
      </c>
      <c r="R2422" t="n">
        <v>0.3833</v>
      </c>
      <c r="S2422">
        <f>IMAGE("https://mitra.stanford.edu/kundaje/oak/projects/neuro-variants/variant_position/credible/roussos_2024/variant_figures/roussos_2024.childhood.Astrocyte/rs729824_count_position.png",4,220,900)</f>
        <v/>
      </c>
      <c r="T2422">
        <f>IMAGE("https://mitra.stanford.edu/kundaje/oak/projects/neuro-variants/variant_position/credible/roussos_2024/variant_figures/roussos_2024.childhood.Astrocyte/rs729824_profile_position.png",4,220,900)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0.053970723</v>
      </c>
      <c r="G2423" t="n">
        <v>0.126068900172003</v>
      </c>
      <c r="H2423" t="n">
        <v>0.02214480468845</v>
      </c>
      <c r="I2423" t="n">
        <v>0.09069526358864589</v>
      </c>
      <c r="J2423" t="n">
        <v>0.5327486585300696</v>
      </c>
      <c r="K2423" t="n">
        <v>0.0458475047037134</v>
      </c>
      <c r="L2423" t="b">
        <v>0</v>
      </c>
      <c r="M2423" t="b">
        <v>0</v>
      </c>
      <c r="N2423" t="inlineStr">
        <is>
          <t>alt</t>
        </is>
      </c>
      <c r="O2423" t="n">
        <v>15</v>
      </c>
      <c r="P2423" t="n">
        <v>0.00464</v>
      </c>
      <c r="Q2423" t="n">
        <v>15</v>
      </c>
      <c r="R2423" t="n">
        <v>0.042</v>
      </c>
      <c r="S2423">
        <f>IMAGE("https://mitra.stanford.edu/kundaje/oak/projects/neuro-variants/variant_position/credible/roussos_2024/variant_figures/roussos_2024.childhood.Astrocyte/rs495146_count_position.png",4,220,900)</f>
        <v/>
      </c>
      <c r="T2423">
        <f>IMAGE("https://mitra.stanford.edu/kundaje/oak/projects/neuro-variants/variant_position/credible/roussos_2024/variant_figures/roussos_2024.childhood.Astrocyte/rs495146_profile_position.png",4,220,900)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-0.00165692392</v>
      </c>
      <c r="G2424" t="n">
        <v>0.3601643370966597</v>
      </c>
      <c r="H2424" t="n">
        <v>0.0106212281556494</v>
      </c>
      <c r="I2424" t="n">
        <v>0.6472004673030836</v>
      </c>
      <c r="J2424" t="n">
        <v>0.2412317861586254</v>
      </c>
      <c r="K2424" t="n">
        <v>0.172975767997807</v>
      </c>
      <c r="L2424" t="b">
        <v>0</v>
      </c>
      <c r="M2424" t="b">
        <v>0</v>
      </c>
      <c r="N2424" t="inlineStr">
        <is>
          <t>ref</t>
        </is>
      </c>
      <c r="O2424" t="n">
        <v>-70</v>
      </c>
      <c r="P2424" t="n">
        <v>0.001343</v>
      </c>
      <c r="Q2424" t="n">
        <v>60</v>
      </c>
      <c r="R2424" t="n">
        <v>0.1902</v>
      </c>
      <c r="S2424">
        <f>IMAGE("https://mitra.stanford.edu/kundaje/oak/projects/neuro-variants/variant_position/credible/roussos_2024/variant_figures/roussos_2024.childhood.Astrocyte/rs6012680_count_position.png",4,220,900)</f>
        <v/>
      </c>
      <c r="T2424">
        <f>IMAGE("https://mitra.stanford.edu/kundaje/oak/projects/neuro-variants/variant_position/credible/roussos_2024/variant_figures/roussos_2024.childhood.Astrocyte/rs6012680_profile_position.png",4,220,900)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-0.0409036703999999</v>
      </c>
      <c r="G2425" t="n">
        <v>0.1501952077019667</v>
      </c>
      <c r="H2425" t="n">
        <v>0.0181173846964114</v>
      </c>
      <c r="I2425" t="n">
        <v>0.1820122497049209</v>
      </c>
      <c r="J2425" t="n">
        <v>0.0579186798256661</v>
      </c>
      <c r="K2425" t="n">
        <v>0.4274563777768624</v>
      </c>
      <c r="L2425" t="b">
        <v>0</v>
      </c>
      <c r="M2425" t="b">
        <v>0</v>
      </c>
      <c r="N2425" t="inlineStr">
        <is>
          <t>ref</t>
        </is>
      </c>
      <c r="O2425" t="n">
        <v>-10</v>
      </c>
      <c r="P2425" t="n">
        <v>0.002075</v>
      </c>
      <c r="Q2425" t="n">
        <v>-50</v>
      </c>
      <c r="R2425" t="n">
        <v>0.09503</v>
      </c>
      <c r="S2425">
        <f>IMAGE("https://mitra.stanford.edu/kundaje/oak/projects/neuro-variants/variant_position/credible/roussos_2024/variant_figures/roussos_2024.childhood.Astrocyte/rs1810404_count_position.png",4,220,900)</f>
        <v/>
      </c>
      <c r="T2425">
        <f>IMAGE("https://mitra.stanford.edu/kundaje/oak/projects/neuro-variants/variant_position/credible/roussos_2024/variant_figures/roussos_2024.childhood.Astrocyte/rs1810404_profile_position.png",4,220,900)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-0.05986980194</v>
      </c>
      <c r="G2426" t="n">
        <v>0.1710472744800935</v>
      </c>
      <c r="H2426" t="n">
        <v>0.0118213144178843</v>
      </c>
      <c r="I2426" t="n">
        <v>0.5285099435649809</v>
      </c>
      <c r="J2426" t="n">
        <v>0.0253898468090952</v>
      </c>
      <c r="K2426" t="n">
        <v>0.5570344603058179</v>
      </c>
      <c r="L2426" t="b">
        <v>0</v>
      </c>
      <c r="M2426" t="b">
        <v>0</v>
      </c>
      <c r="N2426" t="inlineStr">
        <is>
          <t>ref</t>
        </is>
      </c>
      <c r="O2426" t="n">
        <v>95</v>
      </c>
      <c r="P2426" t="n">
        <v>0.02939</v>
      </c>
      <c r="Q2426" t="n">
        <v>70</v>
      </c>
      <c r="R2426" t="n">
        <v>0.2053</v>
      </c>
      <c r="S2426">
        <f>IMAGE("https://mitra.stanford.edu/kundaje/oak/projects/neuro-variants/variant_position/credible/roussos_2024/variant_figures/roussos_2024.childhood.Astrocyte/rs34570637_count_position.png",4,220,900)</f>
        <v/>
      </c>
      <c r="T2426">
        <f>IMAGE("https://mitra.stanford.edu/kundaje/oak/projects/neuro-variants/variant_position/credible/roussos_2024/variant_figures/roussos_2024.childhood.Astrocyte/rs34570637_profile_position.png",4,220,900)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-0.0375321416</v>
      </c>
      <c r="G2427" t="n">
        <v>0.2830135960343815</v>
      </c>
      <c r="H2427" t="n">
        <v>0.0158084656678878</v>
      </c>
      <c r="I2427" t="n">
        <v>0.2586206743417734</v>
      </c>
      <c r="J2427" t="n">
        <v>0.0054902948562356</v>
      </c>
      <c r="K2427" t="n">
        <v>0.7634204928008664</v>
      </c>
      <c r="L2427" t="b">
        <v>0</v>
      </c>
      <c r="M2427" t="b">
        <v>0</v>
      </c>
      <c r="N2427" t="inlineStr">
        <is>
          <t>ref</t>
        </is>
      </c>
      <c r="O2427" t="n">
        <v>55</v>
      </c>
      <c r="P2427" t="n">
        <v>0.003471</v>
      </c>
      <c r="Q2427" t="n">
        <v>70</v>
      </c>
      <c r="R2427" t="n">
        <v>0.1416</v>
      </c>
      <c r="S2427">
        <f>IMAGE("https://mitra.stanford.edu/kundaje/oak/projects/neuro-variants/variant_position/credible/roussos_2024/variant_figures/roussos_2024.childhood.Astrocyte/rs73172392_count_position.png",4,220,900)</f>
        <v/>
      </c>
      <c r="T2427">
        <f>IMAGE("https://mitra.stanford.edu/kundaje/oak/projects/neuro-variants/variant_position/credible/roussos_2024/variant_figures/roussos_2024.childhood.Astrocyte/rs73172392_profile_position.png",4,220,900)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0.00214085244</v>
      </c>
      <c r="G2428" t="n">
        <v>0.8367315410201452</v>
      </c>
      <c r="H2428" t="n">
        <v>0.0219382114096111</v>
      </c>
      <c r="I2428" t="n">
        <v>0.09332314306194719</v>
      </c>
      <c r="J2428" t="n">
        <v>0.0160739773915565</v>
      </c>
      <c r="K2428" t="n">
        <v>0.6204512282660241</v>
      </c>
      <c r="L2428" t="b">
        <v>0</v>
      </c>
      <c r="M2428" t="b">
        <v>0</v>
      </c>
      <c r="N2428" t="inlineStr">
        <is>
          <t>alt</t>
        </is>
      </c>
      <c r="O2428" t="n">
        <v>-100</v>
      </c>
      <c r="P2428" t="n">
        <v>0.02121</v>
      </c>
      <c r="Q2428" t="n">
        <v>-100</v>
      </c>
      <c r="R2428" t="n">
        <v>0.08405</v>
      </c>
      <c r="S2428">
        <f>IMAGE("https://mitra.stanford.edu/kundaje/oak/projects/neuro-variants/variant_position/credible/roussos_2024/variant_figures/roussos_2024.childhood.Astrocyte/rs2826495_count_position.png",4,220,900)</f>
        <v/>
      </c>
      <c r="T2428">
        <f>IMAGE("https://mitra.stanford.edu/kundaje/oak/projects/neuro-variants/variant_position/credible/roussos_2024/variant_figures/roussos_2024.childhood.Astrocyte/rs2826495_profile_position.png",4,220,900)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-0.1087013551999999</v>
      </c>
      <c r="G2429" t="n">
        <v>0.064758449028435</v>
      </c>
      <c r="H2429" t="n">
        <v>0.0300328842326154</v>
      </c>
      <c r="I2429" t="n">
        <v>0.0292953887500974</v>
      </c>
      <c r="J2429" t="n">
        <v>0.1735049193591475</v>
      </c>
      <c r="K2429" t="n">
        <v>0.2261648903186057</v>
      </c>
      <c r="L2429" t="b">
        <v>0</v>
      </c>
      <c r="M2429" t="b">
        <v>0</v>
      </c>
      <c r="N2429" t="inlineStr">
        <is>
          <t>ref</t>
        </is>
      </c>
      <c r="O2429" t="n">
        <v>55</v>
      </c>
      <c r="P2429" t="n">
        <v>0.007393</v>
      </c>
      <c r="Q2429" t="n">
        <v>20</v>
      </c>
      <c r="R2429" t="n">
        <v>0.0779</v>
      </c>
      <c r="S2429">
        <f>IMAGE("https://mitra.stanford.edu/kundaje/oak/projects/neuro-variants/variant_position/credible/roussos_2024/variant_figures/roussos_2024.childhood.Astrocyte/rs3746862_count_position.png",4,220,900)</f>
        <v/>
      </c>
      <c r="T2429">
        <f>IMAGE("https://mitra.stanford.edu/kundaje/oak/projects/neuro-variants/variant_position/credible/roussos_2024/variant_figures/roussos_2024.childhood.Astrocyte/rs3746862_profile_position.png",4,220,900)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-0.0139905364</v>
      </c>
      <c r="G2430" t="n">
        <v>0.6631983864190845</v>
      </c>
      <c r="H2430" t="n">
        <v>0.0101470456919144</v>
      </c>
      <c r="I2430" t="n">
        <v>0.6997576536929687</v>
      </c>
      <c r="J2430" t="n">
        <v>0.523302267713891</v>
      </c>
      <c r="K2430" t="n">
        <v>0.0491651764888124</v>
      </c>
      <c r="L2430" t="b">
        <v>0</v>
      </c>
      <c r="M2430" t="b">
        <v>0</v>
      </c>
      <c r="N2430" t="inlineStr">
        <is>
          <t>ref</t>
        </is>
      </c>
      <c r="O2430" t="n">
        <v>100</v>
      </c>
      <c r="P2430" t="n">
        <v>0.0394</v>
      </c>
      <c r="Q2430" t="n">
        <v>100</v>
      </c>
      <c r="R2430" t="n">
        <v>0.3645</v>
      </c>
      <c r="S2430">
        <f>IMAGE("https://mitra.stanford.edu/kundaje/oak/projects/neuro-variants/variant_position/credible/roussos_2024/variant_figures/roussos_2024.childhood.Astrocyte/rs4819527_count_position.png",4,220,900)</f>
        <v/>
      </c>
      <c r="T2430">
        <f>IMAGE("https://mitra.stanford.edu/kundaje/oak/projects/neuro-variants/variant_position/credible/roussos_2024/variant_figures/roussos_2024.childhood.Astrocyte/rs4819527_profile_position.png",4,220,900)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-0.167428486</v>
      </c>
      <c r="G2431" t="n">
        <v>0.0282381575025851</v>
      </c>
      <c r="H2431" t="n">
        <v>0.0235675311789183</v>
      </c>
      <c r="I2431" t="n">
        <v>0.0736663929232277</v>
      </c>
      <c r="J2431" t="n">
        <v>0.9887369955653256</v>
      </c>
      <c r="K2431" t="n">
        <v>7.210294771053637e-06</v>
      </c>
      <c r="L2431" t="b">
        <v>0</v>
      </c>
      <c r="M2431" t="b">
        <v>0</v>
      </c>
      <c r="N2431" t="inlineStr">
        <is>
          <t>ref</t>
        </is>
      </c>
      <c r="O2431" t="n">
        <v>0</v>
      </c>
      <c r="P2431" t="n">
        <v>0</v>
      </c>
      <c r="Q2431" t="n">
        <v>-15</v>
      </c>
      <c r="R2431" t="n">
        <v>0.07275</v>
      </c>
      <c r="S2431">
        <f>IMAGE("https://mitra.stanford.edu/kundaje/oak/projects/neuro-variants/variant_position/credible/roussos_2024/variant_figures/roussos_2024.childhood.Astrocyte/rs61174903_count_position.png",4,220,900)</f>
        <v/>
      </c>
      <c r="T2431">
        <f>IMAGE("https://mitra.stanford.edu/kundaje/oak/projects/neuro-variants/variant_position/credible/roussos_2024/variant_figures/roussos_2024.childhood.Astrocyte/rs61174903_profile_position.png",4,220,900)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0.086297449848</v>
      </c>
      <c r="G2432" t="n">
        <v>0.134882372853404</v>
      </c>
      <c r="H2432" t="n">
        <v>0.0146582447160646</v>
      </c>
      <c r="I2432" t="n">
        <v>0.3222612753742326</v>
      </c>
      <c r="J2432" t="n">
        <v>0.111319487379115</v>
      </c>
      <c r="K2432" t="n">
        <v>0.3102992807817559</v>
      </c>
      <c r="L2432" t="b">
        <v>0</v>
      </c>
      <c r="M2432" t="b">
        <v>0</v>
      </c>
      <c r="N2432" t="inlineStr">
        <is>
          <t>alt</t>
        </is>
      </c>
      <c r="O2432" t="n">
        <v>100</v>
      </c>
      <c r="P2432" t="n">
        <v>0.03983</v>
      </c>
      <c r="Q2432" t="n">
        <v>100</v>
      </c>
      <c r="R2432" t="n">
        <v>0.185</v>
      </c>
      <c r="S2432">
        <f>IMAGE("https://mitra.stanford.edu/kundaje/oak/projects/neuro-variants/variant_position/credible/roussos_2024/variant_figures/roussos_2024.childhood.Astrocyte/rs138647105_count_position.png",4,220,900)</f>
        <v/>
      </c>
      <c r="T2432">
        <f>IMAGE("https://mitra.stanford.edu/kundaje/oak/projects/neuro-variants/variant_position/credible/roussos_2024/variant_figures/roussos_2024.childhood.Astrocyte/rs138647105_profile_position.png",4,220,900)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0.0882184342</v>
      </c>
      <c r="G2433" t="n">
        <v>0.09903868912767839</v>
      </c>
      <c r="H2433" t="n">
        <v>0.0240980911220045</v>
      </c>
      <c r="I2433" t="n">
        <v>0.0667078374000087</v>
      </c>
      <c r="J2433" t="n">
        <v>0.3510544755100639</v>
      </c>
      <c r="K2433" t="n">
        <v>0.1077041490546398</v>
      </c>
      <c r="L2433" t="b">
        <v>0</v>
      </c>
      <c r="M2433" t="b">
        <v>0</v>
      </c>
      <c r="N2433" t="inlineStr">
        <is>
          <t>alt</t>
        </is>
      </c>
      <c r="O2433" t="n">
        <v>-20</v>
      </c>
      <c r="P2433" t="n">
        <v>0.0002365</v>
      </c>
      <c r="Q2433" t="n">
        <v>20</v>
      </c>
      <c r="R2433" t="n">
        <v>0.05078</v>
      </c>
      <c r="S2433">
        <f>IMAGE("https://mitra.stanford.edu/kundaje/oak/projects/neuro-variants/variant_position/credible/roussos_2024/variant_figures/roussos_2024.childhood.Astrocyte/rs7349039_count_position.png",4,220,900)</f>
        <v/>
      </c>
      <c r="T2433">
        <f>IMAGE("https://mitra.stanford.edu/kundaje/oak/projects/neuro-variants/variant_position/credible/roussos_2024/variant_figures/roussos_2024.childhood.Astrocyte/rs7349039_profile_position.png",4,220,900)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0.0390708974</v>
      </c>
      <c r="G2434" t="n">
        <v>0.2900506588706538</v>
      </c>
      <c r="H2434" t="n">
        <v>0.0096141193748275</v>
      </c>
      <c r="I2434" t="n">
        <v>0.7604553121766306</v>
      </c>
      <c r="J2434" t="n">
        <v>0.0423270973109538</v>
      </c>
      <c r="K2434" t="n">
        <v>0.4810001965157433</v>
      </c>
      <c r="L2434" t="b">
        <v>0</v>
      </c>
      <c r="M2434" t="b">
        <v>0</v>
      </c>
      <c r="N2434" t="inlineStr">
        <is>
          <t>alt</t>
        </is>
      </c>
      <c r="O2434" t="n">
        <v>60</v>
      </c>
      <c r="P2434" t="n">
        <v>0.03363</v>
      </c>
      <c r="Q2434" t="n">
        <v>95</v>
      </c>
      <c r="R2434" t="n">
        <v>0.06555</v>
      </c>
      <c r="S2434">
        <f>IMAGE("https://mitra.stanford.edu/kundaje/oak/projects/neuro-variants/variant_position/credible/roussos_2024/variant_figures/roussos_2024.childhood.Astrocyte/rs75974641_count_position.png",4,220,900)</f>
        <v/>
      </c>
      <c r="T2434">
        <f>IMAGE("https://mitra.stanford.edu/kundaje/oak/projects/neuro-variants/variant_position/credible/roussos_2024/variant_figures/roussos_2024.childhood.Astrocyte/rs75974641_profile_position.png",4,220,900)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-0.3414153599999999</v>
      </c>
      <c r="G2435" t="n">
        <v>0.0040703872425092</v>
      </c>
      <c r="H2435" t="n">
        <v>0.0368976200140521</v>
      </c>
      <c r="I2435" t="n">
        <v>0.0142974350657301</v>
      </c>
      <c r="J2435" t="n">
        <v>0.2422133681390395</v>
      </c>
      <c r="K2435" t="n">
        <v>0.1670107385916114</v>
      </c>
      <c r="L2435" t="b">
        <v>1</v>
      </c>
      <c r="M2435" t="b">
        <v>1</v>
      </c>
      <c r="N2435" t="inlineStr">
        <is>
          <t>ref</t>
        </is>
      </c>
      <c r="O2435" t="n">
        <v>-85</v>
      </c>
      <c r="P2435" t="n">
        <v>0.02269</v>
      </c>
      <c r="Q2435" t="n">
        <v>-80</v>
      </c>
      <c r="R2435" t="n">
        <v>0.1102</v>
      </c>
      <c r="S2435">
        <f>IMAGE("https://mitra.stanford.edu/kundaje/oak/projects/neuro-variants/variant_position/credible/roussos_2024/variant_figures/roussos_2024.childhood.Astrocyte/rs8136346_count_position.png",4,220,900)</f>
        <v/>
      </c>
      <c r="T2435">
        <f>IMAGE("https://mitra.stanford.edu/kundaje/oak/projects/neuro-variants/variant_position/credible/roussos_2024/variant_figures/roussos_2024.childhood.Astrocyte/rs8136346_profile_position.png",4,220,900)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0.1510991824</v>
      </c>
      <c r="G2436" t="n">
        <v>0.0315392127479867</v>
      </c>
      <c r="H2436" t="n">
        <v>0.0260074884374647</v>
      </c>
      <c r="I2436" t="n">
        <v>0.0594199320685372</v>
      </c>
      <c r="J2436" t="n">
        <v>0.2511689679650111</v>
      </c>
      <c r="K2436" t="n">
        <v>0.1624400211277052</v>
      </c>
      <c r="L2436" t="b">
        <v>0</v>
      </c>
      <c r="M2436" t="b">
        <v>0</v>
      </c>
      <c r="N2436" t="inlineStr">
        <is>
          <t>alt</t>
        </is>
      </c>
      <c r="O2436" t="n">
        <v>60</v>
      </c>
      <c r="P2436" t="n">
        <v>0.00774</v>
      </c>
      <c r="Q2436" t="n">
        <v>65</v>
      </c>
      <c r="R2436" t="n">
        <v>0.03076</v>
      </c>
      <c r="S2436">
        <f>IMAGE("https://mitra.stanford.edu/kundaje/oak/projects/neuro-variants/variant_position/credible/roussos_2024/variant_figures/roussos_2024.childhood.Astrocyte/rs6001259_count_position.png",4,220,900)</f>
        <v/>
      </c>
      <c r="T2436">
        <f>IMAGE("https://mitra.stanford.edu/kundaje/oak/projects/neuro-variants/variant_position/credible/roussos_2024/variant_figures/roussos_2024.childhood.Astrocyte/rs6001259_profile_position.png",4,220,900)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-0.1828448168</v>
      </c>
      <c r="G2437" t="n">
        <v>0.024214721888091</v>
      </c>
      <c r="H2437" t="n">
        <v>0.0228061521609643</v>
      </c>
      <c r="I2437" t="n">
        <v>0.0873667969899945</v>
      </c>
      <c r="J2437" t="n">
        <v>0.4538190866555228</v>
      </c>
      <c r="K2437" t="n">
        <v>0.06802167226080399</v>
      </c>
      <c r="L2437" t="b">
        <v>0</v>
      </c>
      <c r="M2437" t="b">
        <v>0</v>
      </c>
      <c r="N2437" t="inlineStr">
        <is>
          <t>ref</t>
        </is>
      </c>
      <c r="O2437" t="n">
        <v>50</v>
      </c>
      <c r="P2437" t="n">
        <v>0.02087</v>
      </c>
      <c r="Q2437" t="n">
        <v>-55</v>
      </c>
      <c r="R2437" t="n">
        <v>0.0896</v>
      </c>
      <c r="S2437">
        <f>IMAGE("https://mitra.stanford.edu/kundaje/oak/projects/neuro-variants/variant_position/credible/roussos_2024/variant_figures/roussos_2024.childhood.Astrocyte/rs1053197_count_position.png",4,220,900)</f>
        <v/>
      </c>
      <c r="T2437">
        <f>IMAGE("https://mitra.stanford.edu/kundaje/oak/projects/neuro-variants/variant_position/credible/roussos_2024/variant_figures/roussos_2024.childhood.Astrocyte/rs1053197_profile_position.png",4,220,900)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-0.0207153266</v>
      </c>
      <c r="G2438" t="n">
        <v>0.3780298933085702</v>
      </c>
      <c r="H2438" t="n">
        <v>0.0142583058258736</v>
      </c>
      <c r="I2438" t="n">
        <v>0.3407373219680336</v>
      </c>
      <c r="J2438" t="n">
        <v>0.0727561387037927</v>
      </c>
      <c r="K2438" t="n">
        <v>0.3801657310801571</v>
      </c>
      <c r="L2438" t="b">
        <v>0</v>
      </c>
      <c r="M2438" t="b">
        <v>0</v>
      </c>
      <c r="N2438" t="inlineStr">
        <is>
          <t>ref</t>
        </is>
      </c>
      <c r="O2438" t="n">
        <v>-100</v>
      </c>
      <c r="P2438" t="n">
        <v>0.00776</v>
      </c>
      <c r="Q2438" t="n">
        <v>-55</v>
      </c>
      <c r="R2438" t="n">
        <v>0.0645</v>
      </c>
      <c r="S2438">
        <f>IMAGE("https://mitra.stanford.edu/kundaje/oak/projects/neuro-variants/variant_position/credible/roussos_2024/variant_figures/roussos_2024.childhood.Astrocyte/rs5750857_count_position.png",4,220,900)</f>
        <v/>
      </c>
      <c r="T2438">
        <f>IMAGE("https://mitra.stanford.edu/kundaje/oak/projects/neuro-variants/variant_position/credible/roussos_2024/variant_figures/roussos_2024.childhood.Astrocyte/rs5750857_profile_position.png",4,220,900)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-0.0845634</v>
      </c>
      <c r="G2439" t="n">
        <v>0.105945038375182</v>
      </c>
      <c r="H2439" t="n">
        <v>0.0231636326075323</v>
      </c>
      <c r="I2439" t="n">
        <v>0.0792259843915237</v>
      </c>
      <c r="J2439" t="n">
        <v>0.7170227382015525</v>
      </c>
      <c r="K2439" t="n">
        <v>0.0164645619149445</v>
      </c>
      <c r="L2439" t="b">
        <v>0</v>
      </c>
      <c r="M2439" t="b">
        <v>0</v>
      </c>
      <c r="N2439" t="inlineStr">
        <is>
          <t>ref</t>
        </is>
      </c>
      <c r="O2439" t="n">
        <v>100</v>
      </c>
      <c r="P2439" t="n">
        <v>0.012985</v>
      </c>
      <c r="Q2439" t="n">
        <v>40</v>
      </c>
      <c r="R2439" t="n">
        <v>0.2346</v>
      </c>
      <c r="S2439">
        <f>IMAGE("https://mitra.stanford.edu/kundaje/oak/projects/neuro-variants/variant_position/credible/roussos_2024/variant_figures/roussos_2024.childhood.Astrocyte/rs136828_count_position.png",4,220,900)</f>
        <v/>
      </c>
      <c r="T2439">
        <f>IMAGE("https://mitra.stanford.edu/kundaje/oak/projects/neuro-variants/variant_position/credible/roussos_2024/variant_figures/roussos_2024.childhood.Astrocyte/rs136828_profile_position.png",4,220,900)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-0.0313440964</v>
      </c>
      <c r="G2440" t="n">
        <v>0.377652884993636</v>
      </c>
      <c r="H2440" t="n">
        <v>0.0557937871259182</v>
      </c>
      <c r="I2440" t="n">
        <v>0.0027283946049544</v>
      </c>
      <c r="J2440" t="n">
        <v>0.0323777029760405</v>
      </c>
      <c r="K2440" t="n">
        <v>0.5143987369042771</v>
      </c>
      <c r="L2440" t="b">
        <v>1</v>
      </c>
      <c r="M2440" t="b">
        <v>0</v>
      </c>
      <c r="N2440" t="inlineStr">
        <is>
          <t>ref</t>
        </is>
      </c>
      <c r="O2440" t="n">
        <v>100</v>
      </c>
      <c r="P2440" t="n">
        <v>0.010864</v>
      </c>
      <c r="Q2440" t="n">
        <v>45</v>
      </c>
      <c r="R2440" t="n">
        <v>0.09619999999999999</v>
      </c>
      <c r="S2440">
        <f>IMAGE("https://mitra.stanford.edu/kundaje/oak/projects/neuro-variants/variant_position/credible/roussos_2024/variant_figures/roussos_2024.childhood.Astrocyte/rs35060074_count_position.png",4,220,900)</f>
        <v/>
      </c>
      <c r="T2440">
        <f>IMAGE("https://mitra.stanford.edu/kundaje/oak/projects/neuro-variants/variant_position/credible/roussos_2024/variant_figures/roussos_2024.childhood.Astrocyte/rs35060074_profile_position.png",4,220,900)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0.118668226</v>
      </c>
      <c r="G2441" t="n">
        <v>0.0501292526968696</v>
      </c>
      <c r="H2441" t="n">
        <v>0.0183720449362477</v>
      </c>
      <c r="I2441" t="n">
        <v>0.1639466112971353</v>
      </c>
      <c r="J2441" t="n">
        <v>0.996990375000954</v>
      </c>
      <c r="K2441" t="n">
        <v>9.999990000010005e-07</v>
      </c>
      <c r="L2441" t="b">
        <v>0</v>
      </c>
      <c r="M2441" t="b">
        <v>0</v>
      </c>
      <c r="N2441" t="inlineStr">
        <is>
          <t>alt</t>
        </is>
      </c>
      <c r="O2441" t="n">
        <v>-10</v>
      </c>
      <c r="P2441" t="n">
        <v>0.001434</v>
      </c>
      <c r="Q2441" t="n">
        <v>-10</v>
      </c>
      <c r="R2441" t="n">
        <v>0.008789999999999999</v>
      </c>
      <c r="S2441">
        <f>IMAGE("https://mitra.stanford.edu/kundaje/oak/projects/neuro-variants/variant_position/credible/roussos_2024/variant_figures/roussos_2024.childhood.Astrocyte/rs2234059_count_position.png",4,220,900)</f>
        <v/>
      </c>
      <c r="T2441">
        <f>IMAGE("https://mitra.stanford.edu/kundaje/oak/projects/neuro-variants/variant_position/credible/roussos_2024/variant_figures/roussos_2024.childhood.Astrocyte/rs2234059_profile_position.png",4,220,900)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0.0339950152</v>
      </c>
      <c r="G2442" t="n">
        <v>0.2455674443639803</v>
      </c>
      <c r="H2442" t="n">
        <v>0.0312155949021901</v>
      </c>
      <c r="I2442" t="n">
        <v>0.0275344976939316</v>
      </c>
      <c r="J2442" t="n">
        <v>0.7263470037324541</v>
      </c>
      <c r="K2442" t="n">
        <v>0.0138393400538222</v>
      </c>
      <c r="L2442" t="b">
        <v>0</v>
      </c>
      <c r="M2442" t="b">
        <v>0</v>
      </c>
      <c r="N2442" t="inlineStr">
        <is>
          <t>alt</t>
        </is>
      </c>
      <c r="O2442" t="n">
        <v>35</v>
      </c>
      <c r="P2442" t="n">
        <v>0.04495</v>
      </c>
      <c r="Q2442" t="n">
        <v>80</v>
      </c>
      <c r="R2442" t="n">
        <v>0.6304</v>
      </c>
      <c r="S2442">
        <f>IMAGE("https://mitra.stanford.edu/kundaje/oak/projects/neuro-variants/variant_position/credible/roussos_2024/variant_figures/roussos_2024.childhood.Astrocyte/rs2273071_count_position.png",4,220,900)</f>
        <v/>
      </c>
      <c r="T2442">
        <f>IMAGE("https://mitra.stanford.edu/kundaje/oak/projects/neuro-variants/variant_position/credible/roussos_2024/variant_figures/roussos_2024.childhood.Astrocyte/rs2273071_profile_position.png",4,220,900)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-0.0139902739599999</v>
      </c>
      <c r="G2443" t="n">
        <v>0.2583288237720539</v>
      </c>
      <c r="H2443" t="n">
        <v>0.0147583606965553</v>
      </c>
      <c r="I2443" t="n">
        <v>0.3132163240625139</v>
      </c>
      <c r="J2443" t="n">
        <v>0.7741201254837307</v>
      </c>
      <c r="K2443" t="n">
        <v>0.0104502324924809</v>
      </c>
      <c r="L2443" t="b">
        <v>0</v>
      </c>
      <c r="M2443" t="b">
        <v>0</v>
      </c>
      <c r="N2443" t="inlineStr">
        <is>
          <t>ref</t>
        </is>
      </c>
      <c r="O2443" t="n">
        <v>-100</v>
      </c>
      <c r="P2443" t="n">
        <v>0.0457</v>
      </c>
      <c r="Q2443" t="n">
        <v>-100</v>
      </c>
      <c r="R2443" t="n">
        <v>0.12177</v>
      </c>
      <c r="S2443">
        <f>IMAGE("https://mitra.stanford.edu/kundaje/oak/projects/neuro-variants/variant_position/credible/roussos_2024/variant_figures/roussos_2024.childhood.Astrocyte/rs10154646_count_position.png",4,220,900)</f>
        <v/>
      </c>
      <c r="T2443">
        <f>IMAGE("https://mitra.stanford.edu/kundaje/oak/projects/neuro-variants/variant_position/credible/roussos_2024/variant_figures/roussos_2024.childhood.Astrocyte/rs10154646_profile_position.png",4,220,900)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0.0008885149199999</v>
      </c>
      <c r="G2444" t="n">
        <v>0.8312266178365729</v>
      </c>
      <c r="H2444" t="n">
        <v>0.00751889616938</v>
      </c>
      <c r="I2444" t="n">
        <v>0.9411449088413401</v>
      </c>
      <c r="J2444" t="n">
        <v>0.1703174494134169</v>
      </c>
      <c r="K2444" t="n">
        <v>0.2343142042329642</v>
      </c>
      <c r="L2444" t="b">
        <v>0</v>
      </c>
      <c r="M2444" t="b">
        <v>0</v>
      </c>
      <c r="N2444" t="inlineStr">
        <is>
          <t>alt</t>
        </is>
      </c>
      <c r="O2444" t="n">
        <v>-85</v>
      </c>
      <c r="P2444" t="n">
        <v>0.006054</v>
      </c>
      <c r="Q2444" t="n">
        <v>100</v>
      </c>
      <c r="R2444" t="n">
        <v>0.2113</v>
      </c>
      <c r="S2444">
        <f>IMAGE("https://mitra.stanford.edu/kundaje/oak/projects/neuro-variants/variant_position/credible/roussos_2024/variant_figures/roussos_2024.childhood.Astrocyte/rs76365544_count_position.png",4,220,900)</f>
        <v/>
      </c>
      <c r="T2444">
        <f>IMAGE("https://mitra.stanford.edu/kundaje/oak/projects/neuro-variants/variant_position/credible/roussos_2024/variant_figures/roussos_2024.childhood.Astrocyte/rs76365544_profile_position.png",4,220,900)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-0.2090202939999999</v>
      </c>
      <c r="G2445" t="n">
        <v>0.0150030498555299</v>
      </c>
      <c r="H2445" t="n">
        <v>0.030760370185702</v>
      </c>
      <c r="I2445" t="n">
        <v>0.0289481518814584</v>
      </c>
      <c r="J2445" t="n">
        <v>0.0244830665659132</v>
      </c>
      <c r="K2445" t="n">
        <v>0.563496155191608</v>
      </c>
      <c r="L2445" t="b">
        <v>1</v>
      </c>
      <c r="M2445" t="b">
        <v>0</v>
      </c>
      <c r="N2445" t="inlineStr">
        <is>
          <t>ref</t>
        </is>
      </c>
      <c r="O2445" t="n">
        <v>-85</v>
      </c>
      <c r="P2445" t="n">
        <v>0.004925</v>
      </c>
      <c r="Q2445" t="n">
        <v>70</v>
      </c>
      <c r="R2445" t="n">
        <v>0.1026</v>
      </c>
      <c r="S2445">
        <f>IMAGE("https://mitra.stanford.edu/kundaje/oak/projects/neuro-variants/variant_position/credible/roussos_2024/variant_figures/roussos_2024.childhood.Astrocyte/rs138891_count_position.png",4,220,900)</f>
        <v/>
      </c>
      <c r="T2445">
        <f>IMAGE("https://mitra.stanford.edu/kundaje/oak/projects/neuro-variants/variant_position/credible/roussos_2024/variant_figures/roussos_2024.childhood.Astrocyte/rs138891_profile_position.png",4,220,900)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0.0014355865</v>
      </c>
      <c r="G2446" t="n">
        <v>0.7992167146311077</v>
      </c>
      <c r="H2446" t="n">
        <v>0.0316488769100992</v>
      </c>
      <c r="I2446" t="n">
        <v>0.0241667784585575</v>
      </c>
      <c r="J2446" t="n">
        <v>0.0638203842366787</v>
      </c>
      <c r="K2446" t="n">
        <v>0.415638894115197</v>
      </c>
      <c r="L2446" t="b">
        <v>0</v>
      </c>
      <c r="M2446" t="b">
        <v>0</v>
      </c>
      <c r="N2446" t="inlineStr">
        <is>
          <t>alt</t>
        </is>
      </c>
      <c r="O2446" t="n">
        <v>-45</v>
      </c>
      <c r="P2446" t="n">
        <v>0.00679</v>
      </c>
      <c r="Q2446" t="n">
        <v>-100</v>
      </c>
      <c r="R2446" t="n">
        <v>0.2225</v>
      </c>
      <c r="S2446">
        <f>IMAGE("https://mitra.stanford.edu/kundaje/oak/projects/neuro-variants/variant_position/credible/roussos_2024/variant_figures/roussos_2024.childhood.Astrocyte/rs2319458_count_position.png",4,220,900)</f>
        <v/>
      </c>
      <c r="T2446">
        <f>IMAGE("https://mitra.stanford.edu/kundaje/oak/projects/neuro-variants/variant_position/credible/roussos_2024/variant_figures/roussos_2024.childhood.Astrocyte/rs2319458_profile_position.png",4,220,900)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-0.0015537061899999</v>
      </c>
      <c r="G2447" t="n">
        <v>0.8474097572339513</v>
      </c>
      <c r="H2447" t="n">
        <v>0.0405908350936406</v>
      </c>
      <c r="I2447" t="n">
        <v>0.0091013418948325</v>
      </c>
      <c r="J2447" t="n">
        <v>0.2300458733102821</v>
      </c>
      <c r="K2447" t="n">
        <v>0.1805475141786505</v>
      </c>
      <c r="L2447" t="b">
        <v>1</v>
      </c>
      <c r="M2447" t="b">
        <v>1</v>
      </c>
      <c r="N2447" t="inlineStr">
        <is>
          <t>ref</t>
        </is>
      </c>
      <c r="O2447" t="n">
        <v>-90</v>
      </c>
      <c r="P2447" t="n">
        <v>0.01398</v>
      </c>
      <c r="Q2447" t="n">
        <v>-100</v>
      </c>
      <c r="R2447" t="n">
        <v>0.3486</v>
      </c>
      <c r="S2447">
        <f>IMAGE("https://mitra.stanford.edu/kundaje/oak/projects/neuro-variants/variant_position/credible/roussos_2024/variant_figures/roussos_2024.childhood.Astrocyte/rs13056783_count_position.png",4,220,900)</f>
        <v/>
      </c>
      <c r="T2447">
        <f>IMAGE("https://mitra.stanford.edu/kundaje/oak/projects/neuro-variants/variant_position/credible/roussos_2024/variant_figures/roussos_2024.childhood.Astrocyte/rs13056783_profile_position.png",4,220,900)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0.0505872088</v>
      </c>
      <c r="G2448" t="n">
        <v>0.2320466420091119</v>
      </c>
      <c r="H2448" t="n">
        <v>0.0123945201157652</v>
      </c>
      <c r="I2448" t="n">
        <v>0.4844297079585664</v>
      </c>
      <c r="J2448" t="n">
        <v>0.1024173173654522</v>
      </c>
      <c r="K2448" t="n">
        <v>0.3304048051215902</v>
      </c>
      <c r="L2448" t="b">
        <v>0</v>
      </c>
      <c r="M2448" t="b">
        <v>0</v>
      </c>
      <c r="N2448" t="inlineStr">
        <is>
          <t>alt</t>
        </is>
      </c>
      <c r="O2448" t="n">
        <v>-95</v>
      </c>
      <c r="P2448" t="n">
        <v>0.0261</v>
      </c>
      <c r="Q2448" t="n">
        <v>0</v>
      </c>
      <c r="R2448" t="n">
        <v>0</v>
      </c>
      <c r="S2448">
        <f>IMAGE("https://mitra.stanford.edu/kundaje/oak/projects/neuro-variants/variant_position/credible/roussos_2024/variant_figures/roussos_2024.childhood.Astrocyte/rs2295409_count_position.png",4,220,900)</f>
        <v/>
      </c>
      <c r="T2448">
        <f>IMAGE("https://mitra.stanford.edu/kundaje/oak/projects/neuro-variants/variant_position/credible/roussos_2024/variant_figures/roussos_2024.childhood.Astrocyte/rs2295409_profile_position.png",4,220,900)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0.0443632608</v>
      </c>
      <c r="G2449" t="n">
        <v>0.2564536329386042</v>
      </c>
      <c r="H2449" t="n">
        <v>0.0135896425688789</v>
      </c>
      <c r="I2449" t="n">
        <v>0.3880780238352372</v>
      </c>
      <c r="J2449" t="n">
        <v>0.086287620312488</v>
      </c>
      <c r="K2449" t="n">
        <v>0.3615089858808446</v>
      </c>
      <c r="L2449" t="b">
        <v>0</v>
      </c>
      <c r="M2449" t="b">
        <v>0</v>
      </c>
      <c r="N2449" t="inlineStr">
        <is>
          <t>alt</t>
        </is>
      </c>
      <c r="O2449" t="n">
        <v>5</v>
      </c>
      <c r="P2449" t="n">
        <v>0.0004773</v>
      </c>
      <c r="Q2449" t="n">
        <v>-65</v>
      </c>
      <c r="R2449" t="n">
        <v>0.079</v>
      </c>
      <c r="S2449">
        <f>IMAGE("https://mitra.stanford.edu/kundaje/oak/projects/neuro-variants/variant_position/credible/roussos_2024/variant_figures/roussos_2024.childhood.Astrocyte/rs8139758_count_position.png",4,220,900)</f>
        <v/>
      </c>
      <c r="T2449">
        <f>IMAGE("https://mitra.stanford.edu/kundaje/oak/projects/neuro-variants/variant_position/credible/roussos_2024/variant_figures/roussos_2024.childhood.Astrocyte/rs8139758_profile_position.png",4,220,900)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-0.038083442</v>
      </c>
      <c r="G2450" t="n">
        <v>0.3010948203617014</v>
      </c>
      <c r="H2450" t="n">
        <v>0.0137142676809088</v>
      </c>
      <c r="I2450" t="n">
        <v>0.3822311455478843</v>
      </c>
      <c r="J2450" t="n">
        <v>0.0290276537442848</v>
      </c>
      <c r="K2450" t="n">
        <v>0.5408732225984324</v>
      </c>
      <c r="L2450" t="b">
        <v>0</v>
      </c>
      <c r="M2450" t="b">
        <v>0</v>
      </c>
      <c r="N2450" t="inlineStr">
        <is>
          <t>ref</t>
        </is>
      </c>
      <c r="O2450" t="n">
        <v>-70</v>
      </c>
      <c r="P2450" t="n">
        <v>0.0435</v>
      </c>
      <c r="Q2450" t="n">
        <v>-100</v>
      </c>
      <c r="R2450" t="n">
        <v>0.16</v>
      </c>
      <c r="S2450">
        <f>IMAGE("https://mitra.stanford.edu/kundaje/oak/projects/neuro-variants/variant_position/credible/roussos_2024/variant_figures/roussos_2024.childhood.Astrocyte/rs5769761_count_position.png",4,220,900)</f>
        <v/>
      </c>
      <c r="T2450">
        <f>IMAGE("https://mitra.stanford.edu/kundaje/oak/projects/neuro-variants/variant_position/credible/roussos_2024/variant_figures/roussos_2024.childhood.Astrocyte/rs5769761_profile_position.png",4,220,900)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0.13158508</v>
      </c>
      <c r="G2451" t="n">
        <v>0.0419123712116527</v>
      </c>
      <c r="H2451" t="n">
        <v>0.0363123741746975</v>
      </c>
      <c r="I2451" t="n">
        <v>0.0141697372804246</v>
      </c>
      <c r="J2451" t="n">
        <v>0.0326685138116064</v>
      </c>
      <c r="K2451" t="n">
        <v>0.5179404108087</v>
      </c>
      <c r="L2451" t="b">
        <v>1</v>
      </c>
      <c r="M2451" t="b">
        <v>0</v>
      </c>
      <c r="N2451" t="inlineStr">
        <is>
          <t>alt</t>
        </is>
      </c>
      <c r="O2451" t="n">
        <v>-10</v>
      </c>
      <c r="P2451" t="n">
        <v>0.00116</v>
      </c>
      <c r="Q2451" t="n">
        <v>100</v>
      </c>
      <c r="R2451" t="n">
        <v>0.1681</v>
      </c>
      <c r="S2451">
        <f>IMAGE("https://mitra.stanford.edu/kundaje/oak/projects/neuro-variants/variant_position/credible/roussos_2024/variant_figures/roussos_2024.childhood.Astrocyte/rs5769762_count_position.png",4,220,900)</f>
        <v/>
      </c>
      <c r="T2451">
        <f>IMAGE("https://mitra.stanford.edu/kundaje/oak/projects/neuro-variants/variant_position/credible/roussos_2024/variant_figures/roussos_2024.childhood.Astrocyte/rs5769762_profile_position.png",4,220,900)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0.01712652776</v>
      </c>
      <c r="G2452" t="n">
        <v>0.4980220632307968</v>
      </c>
      <c r="H2452" t="n">
        <v>0.0114413896108355</v>
      </c>
      <c r="I2452" t="n">
        <v>0.5724626405774207</v>
      </c>
      <c r="J2452" t="n">
        <v>0.0772534023341194</v>
      </c>
      <c r="K2452" t="n">
        <v>0.3751472437106176</v>
      </c>
      <c r="L2452" t="b">
        <v>0</v>
      </c>
      <c r="M2452" t="b">
        <v>0</v>
      </c>
      <c r="N2452" t="inlineStr">
        <is>
          <t>alt</t>
        </is>
      </c>
      <c r="O2452" t="n">
        <v>100</v>
      </c>
      <c r="P2452" t="n">
        <v>0.09814000000000001</v>
      </c>
      <c r="Q2452" t="n">
        <v>-100</v>
      </c>
      <c r="R2452" t="n">
        <v>0.2201</v>
      </c>
      <c r="S2452">
        <f>IMAGE("https://mitra.stanford.edu/kundaje/oak/projects/neuro-variants/variant_position/credible/roussos_2024/variant_figures/roussos_2024.childhood.Astrocyte/rs4824106_count_position.png",4,220,900)</f>
        <v/>
      </c>
      <c r="T2452">
        <f>IMAGE("https://mitra.stanford.edu/kundaje/oak/projects/neuro-variants/variant_position/credible/roussos_2024/variant_figures/roussos_2024.childhood.Astrocyte/rs4824106_profile_position.png",4,220,900)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0.092108942</v>
      </c>
      <c r="G2453" t="n">
        <v>0.0793100601728642</v>
      </c>
      <c r="H2453" t="n">
        <v>0.0131078440857802</v>
      </c>
      <c r="I2453" t="n">
        <v>0.4233581495463013</v>
      </c>
      <c r="J2453" t="n">
        <v>0.86138093166327</v>
      </c>
      <c r="K2453" t="n">
        <v>0.0029933085426689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0.07806</v>
      </c>
      <c r="Q2453" t="n">
        <v>100</v>
      </c>
      <c r="R2453" t="n">
        <v>0.476</v>
      </c>
      <c r="S2453">
        <f>IMAGE("https://mitra.stanford.edu/kundaje/oak/projects/neuro-variants/variant_position/credible/roussos_2024/variant_figures/roussos_2024.childhood.Astrocyte/rs8184990_count_position.png",4,220,900)</f>
        <v/>
      </c>
      <c r="T2453">
        <f>IMAGE("https://mitra.stanford.edu/kundaje/oak/projects/neuro-variants/variant_position/credible/roussos_2024/variant_figures/roussos_2024.childhood.Astrocyte/rs8184990_profile_position.png",4,220,900)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0.264376598</v>
      </c>
      <c r="G2454" t="n">
        <v>0.0083105628044076</v>
      </c>
      <c r="H2454" t="n">
        <v>0.0509330828936635</v>
      </c>
      <c r="I2454" t="n">
        <v>0.0046664520775582</v>
      </c>
      <c r="J2454" t="n">
        <v>0.6489997175852779</v>
      </c>
      <c r="K2454" t="n">
        <v>0.0256520642962796</v>
      </c>
      <c r="L2454" t="b">
        <v>1</v>
      </c>
      <c r="M2454" t="b">
        <v>1</v>
      </c>
      <c r="N2454" t="inlineStr">
        <is>
          <t>alt</t>
        </is>
      </c>
      <c r="O2454" t="n">
        <v>-5</v>
      </c>
      <c r="P2454" t="n">
        <v>0.00058</v>
      </c>
      <c r="Q2454" t="n">
        <v>-35</v>
      </c>
      <c r="R2454" t="n">
        <v>0.137</v>
      </c>
      <c r="S2454">
        <f>IMAGE("https://mitra.stanford.edu/kundaje/oak/projects/neuro-variants/variant_position/credible/roussos_2024/variant_figures/roussos_2024.childhood.Astrocyte/rs910799_count_position.png",4,220,900)</f>
        <v/>
      </c>
      <c r="T2454">
        <f>IMAGE("https://mitra.stanford.edu/kundaje/oak/projects/neuro-variants/variant_position/credible/roussos_2024/variant_figures/roussos_2024.childhood.Astrocyte/rs910799_profile_position.png",4,220,900)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-0.18900693</v>
      </c>
      <c r="G2455" t="n">
        <v>0.0187357081354179</v>
      </c>
      <c r="H2455" t="n">
        <v>0.0547909739805855</v>
      </c>
      <c r="I2455" t="n">
        <v>0.0029423585210675</v>
      </c>
      <c r="J2455" t="n">
        <v>0.6057276758794929</v>
      </c>
      <c r="K2455" t="n">
        <v>0.0329278945965274</v>
      </c>
      <c r="L2455" t="b">
        <v>1</v>
      </c>
      <c r="M2455" t="b">
        <v>1</v>
      </c>
      <c r="N2455" t="inlineStr">
        <is>
          <t>ref</t>
        </is>
      </c>
      <c r="O2455" t="n">
        <v>-75</v>
      </c>
      <c r="P2455" t="n">
        <v>0.002563</v>
      </c>
      <c r="Q2455" t="n">
        <v>100</v>
      </c>
      <c r="R2455" t="n">
        <v>0.1144</v>
      </c>
      <c r="S2455">
        <f>IMAGE("https://mitra.stanford.edu/kundaje/oak/projects/neuro-variants/variant_position/credible/roussos_2024/variant_figures/roussos_2024.childhood.Astrocyte/rs910800_count_position.png",4,220,900)</f>
        <v/>
      </c>
      <c r="T2455">
        <f>IMAGE("https://mitra.stanford.edu/kundaje/oak/projects/neuro-variants/variant_position/credible/roussos_2024/variant_figures/roussos_2024.childhood.Astrocyte/rs910800_profile_position.png",4,220,900)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-0.10126602</v>
      </c>
      <c r="G2456" t="n">
        <v>0.074120000548585</v>
      </c>
      <c r="H2456" t="n">
        <v>0.0139257075897028</v>
      </c>
      <c r="I2456" t="n">
        <v>0.3648386339023754</v>
      </c>
      <c r="J2456" t="n">
        <v>0.0475845908421301</v>
      </c>
      <c r="K2456" t="n">
        <v>0.4572888340333484</v>
      </c>
      <c r="L2456" t="b">
        <v>0</v>
      </c>
      <c r="M2456" t="b">
        <v>0</v>
      </c>
      <c r="N2456" t="inlineStr">
        <is>
          <t>ref</t>
        </is>
      </c>
      <c r="O2456" t="n">
        <v>100</v>
      </c>
      <c r="P2456" t="n">
        <v>0.0066</v>
      </c>
      <c r="Q2456" t="n">
        <v>-25</v>
      </c>
      <c r="R2456" t="n">
        <v>0.1436</v>
      </c>
      <c r="S2456">
        <f>IMAGE("https://mitra.stanford.edu/kundaje/oak/projects/neuro-variants/variant_position/credible/roussos_2024/variant_figures/roussos_2024.childhood.Astrocyte/rs768618_count_position.png",4,220,900)</f>
        <v/>
      </c>
      <c r="T2456">
        <f>IMAGE("https://mitra.stanford.edu/kundaje/oak/projects/neuro-variants/variant_position/credible/roussos_2024/variant_figures/roussos_2024.childhood.Astrocyte/rs768618_profile_position.png",4,220,900)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0.002739395414</v>
      </c>
      <c r="G2457" t="n">
        <v>0.8076147887891368</v>
      </c>
      <c r="H2457" t="n">
        <v>0.0191926850662508</v>
      </c>
      <c r="I2457" t="n">
        <v>0.147555496427574</v>
      </c>
      <c r="J2457" t="n">
        <v>0.0125430300809842</v>
      </c>
      <c r="K2457" t="n">
        <v>0.6668428928681129</v>
      </c>
      <c r="L2457" t="b">
        <v>0</v>
      </c>
      <c r="M2457" t="b">
        <v>0</v>
      </c>
      <c r="N2457" t="inlineStr">
        <is>
          <t>alt</t>
        </is>
      </c>
      <c r="O2457" t="n">
        <v>-45</v>
      </c>
      <c r="P2457" t="n">
        <v>0.00966</v>
      </c>
      <c r="Q2457" t="n">
        <v>-90</v>
      </c>
      <c r="R2457" t="n">
        <v>0.1329</v>
      </c>
      <c r="S2457">
        <f>IMAGE("https://mitra.stanford.edu/kundaje/oak/projects/neuro-variants/variant_position/credible/roussos_2024/variant_figures/roussos_2024.childhood.Astrocyte/rs768619_count_position.png",4,220,900)</f>
        <v/>
      </c>
      <c r="T2457">
        <f>IMAGE("https://mitra.stanford.edu/kundaje/oak/projects/neuro-variants/variant_position/credible/roussos_2024/variant_figures/roussos_2024.childhood.Astrocyte/rs768619_profile_position.png",4,220,900)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0.00376714596</v>
      </c>
      <c r="G2458" t="n">
        <v>0.8357773647678465</v>
      </c>
      <c r="H2458" t="n">
        <v>0.007845789484141601</v>
      </c>
      <c r="I2458" t="n">
        <v>0.8921231640640247</v>
      </c>
      <c r="J2458" t="n">
        <v>0.0054826620259057</v>
      </c>
      <c r="K2458" t="n">
        <v>0.7627968443725451</v>
      </c>
      <c r="L2458" t="b">
        <v>0</v>
      </c>
      <c r="M2458" t="b">
        <v>0</v>
      </c>
      <c r="N2458" t="inlineStr">
        <is>
          <t>alt</t>
        </is>
      </c>
      <c r="O2458" t="n">
        <v>100</v>
      </c>
      <c r="P2458" t="n">
        <v>0.0361</v>
      </c>
      <c r="Q2458" t="n">
        <v>80</v>
      </c>
      <c r="R2458" t="n">
        <v>0.1494</v>
      </c>
      <c r="S2458">
        <f>IMAGE("https://mitra.stanford.edu/kundaje/oak/projects/neuro-variants/variant_position/credible/roussos_2024/variant_figures/roussos_2024.childhood.Astrocyte/rs8138687_count_position.png",4,220,900)</f>
        <v/>
      </c>
      <c r="T2458">
        <f>IMAGE("https://mitra.stanford.edu/kundaje/oak/projects/neuro-variants/variant_position/credible/roussos_2024/variant_figures/roussos_2024.childhood.Astrocyte/rs8138687_profile_position.png",4,220,900)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-0.0095749583</v>
      </c>
      <c r="G2459" t="n">
        <v>0.7545352381494913</v>
      </c>
      <c r="H2459" t="n">
        <v>0.0285435579908605</v>
      </c>
      <c r="I2459" t="n">
        <v>0.0354020952923794</v>
      </c>
      <c r="J2459" t="n">
        <v>0.0821773411798828</v>
      </c>
      <c r="K2459" t="n">
        <v>0.3574988157939829</v>
      </c>
      <c r="L2459" t="b">
        <v>0</v>
      </c>
      <c r="M2459" t="b">
        <v>0</v>
      </c>
      <c r="N2459" t="inlineStr">
        <is>
          <t>ref</t>
        </is>
      </c>
      <c r="O2459" t="n">
        <v>80</v>
      </c>
      <c r="P2459" t="n">
        <v>0.01343</v>
      </c>
      <c r="Q2459" t="n">
        <v>95</v>
      </c>
      <c r="R2459" t="n">
        <v>0.2644</v>
      </c>
      <c r="S2459">
        <f>IMAGE("https://mitra.stanford.edu/kundaje/oak/projects/neuro-variants/variant_position/credible/roussos_2024/variant_figures/roussos_2024.childhood.Astrocyte/rs3883952_count_position.png",4,220,900)</f>
        <v/>
      </c>
      <c r="T2459">
        <f>IMAGE("https://mitra.stanford.edu/kundaje/oak/projects/neuro-variants/variant_position/credible/roussos_2024/variant_figures/roussos_2024.childhood.Astrocyte/rs3883952_profile_position.png",4,220,900)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-0.0471579306</v>
      </c>
      <c r="G2460" t="n">
        <v>0.2439743354228694</v>
      </c>
      <c r="H2460" t="n">
        <v>0.012874221340421</v>
      </c>
      <c r="I2460" t="n">
        <v>0.4415216946777072</v>
      </c>
      <c r="J2460" t="n">
        <v>0.3031119049254654</v>
      </c>
      <c r="K2460" t="n">
        <v>0.1307996148413729</v>
      </c>
      <c r="L2460" t="b">
        <v>0</v>
      </c>
      <c r="M2460" t="b">
        <v>0</v>
      </c>
      <c r="N2460" t="inlineStr">
        <is>
          <t>ref</t>
        </is>
      </c>
      <c r="O2460" t="n">
        <v>90</v>
      </c>
      <c r="P2460" t="n">
        <v>0.00878</v>
      </c>
      <c r="Q2460" t="n">
        <v>-60</v>
      </c>
      <c r="R2460" t="n">
        <v>0.1302</v>
      </c>
      <c r="S2460">
        <f>IMAGE("https://mitra.stanford.edu/kundaje/oak/projects/neuro-variants/variant_position/credible/roussos_2024/variant_figures/roussos_2024.childhood.Astrocyte/rs8137331_count_position.png",4,220,900)</f>
        <v/>
      </c>
      <c r="T2460">
        <f>IMAGE("https://mitra.stanford.edu/kundaje/oak/projects/neuro-variants/variant_position/credible/roussos_2024/variant_figures/roussos_2024.childhood.Astrocyte/rs8137331_profile_position.png",4,220,900)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-0.1292850722</v>
      </c>
      <c r="G2461" t="n">
        <v>0.05400866415536</v>
      </c>
      <c r="H2461" t="n">
        <v>0.0232300149757137</v>
      </c>
      <c r="I2461" t="n">
        <v>0.0792947532002688</v>
      </c>
      <c r="J2461" t="n">
        <v>0.2349774449863753</v>
      </c>
      <c r="K2461" t="n">
        <v>0.1737085296728</v>
      </c>
      <c r="L2461" t="b">
        <v>0</v>
      </c>
      <c r="M2461" t="b">
        <v>0</v>
      </c>
      <c r="N2461" t="inlineStr">
        <is>
          <t>ref</t>
        </is>
      </c>
      <c r="O2461" t="n">
        <v>100</v>
      </c>
      <c r="P2461" t="n">
        <v>0.01399</v>
      </c>
      <c r="Q2461" t="n">
        <v>100</v>
      </c>
      <c r="R2461" t="n">
        <v>0.2961</v>
      </c>
      <c r="S2461">
        <f>IMAGE("https://mitra.stanford.edu/kundaje/oak/projects/neuro-variants/variant_position/credible/roussos_2024/variant_figures/roussos_2024.childhood.Astrocyte/rs7284417_count_position.png",4,220,900)</f>
        <v/>
      </c>
      <c r="T2461">
        <f>IMAGE("https://mitra.stanford.edu/kundaje/oak/projects/neuro-variants/variant_position/credible/roussos_2024/variant_figures/roussos_2024.childhood.Astrocyte/rs7284417_profile_position.png",4,220,900)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0.00669027338</v>
      </c>
      <c r="G2462" t="n">
        <v>0.7929281996468882</v>
      </c>
      <c r="H2462" t="n">
        <v>0.0413788204481135</v>
      </c>
      <c r="I2462" t="n">
        <v>0.0085998445568691</v>
      </c>
      <c r="J2462" t="n">
        <v>0.0071618846984649</v>
      </c>
      <c r="K2462" t="n">
        <v>0.7312244451080593</v>
      </c>
      <c r="L2462" t="b">
        <v>0</v>
      </c>
      <c r="M2462" t="b">
        <v>0</v>
      </c>
      <c r="N2462" t="inlineStr">
        <is>
          <t>alt</t>
        </is>
      </c>
      <c r="O2462" t="n">
        <v>90</v>
      </c>
      <c r="P2462" t="n">
        <v>0.01566</v>
      </c>
      <c r="Q2462" t="n">
        <v>65</v>
      </c>
      <c r="R2462" t="n">
        <v>0.0939</v>
      </c>
      <c r="S2462">
        <f>IMAGE("https://mitra.stanford.edu/kundaje/oak/projects/neuro-variants/variant_position/credible/roussos_2024/variant_figures/roussos_2024.childhood.Astrocyte/rs6010043_count_position.png",4,220,900)</f>
        <v/>
      </c>
      <c r="T2462">
        <f>IMAGE("https://mitra.stanford.edu/kundaje/oak/projects/neuro-variants/variant_position/credible/roussos_2024/variant_figures/roussos_2024.childhood.Astrocyte/rs6010043_profile_position.png",4,220,900)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3.364036800000015e-05</v>
      </c>
      <c r="G2463" t="n">
        <v>0.7028003367588912</v>
      </c>
      <c r="H2463" t="n">
        <v>0.0093654433312109</v>
      </c>
      <c r="I2463" t="n">
        <v>0.7881193657467332</v>
      </c>
      <c r="J2463" t="n">
        <v>0.08372680573683521</v>
      </c>
      <c r="K2463" t="n">
        <v>0.3580113529087999</v>
      </c>
      <c r="L2463" t="b">
        <v>0</v>
      </c>
      <c r="M2463" t="b">
        <v>0</v>
      </c>
      <c r="N2463" t="inlineStr">
        <is>
          <t>alt</t>
        </is>
      </c>
      <c r="O2463" t="n">
        <v>100</v>
      </c>
      <c r="P2463" t="n">
        <v>0.02289</v>
      </c>
      <c r="Q2463" t="n">
        <v>-90</v>
      </c>
      <c r="R2463" t="n">
        <v>0.06824</v>
      </c>
      <c r="S2463">
        <f>IMAGE("https://mitra.stanford.edu/kundaje/oak/projects/neuro-variants/variant_position/credible/roussos_2024/variant_figures/roussos_2024.childhood.Astrocyte/rs4685508_count_position.png",4,220,900)</f>
        <v/>
      </c>
      <c r="T2463">
        <f>IMAGE("https://mitra.stanford.edu/kundaje/oak/projects/neuro-variants/variant_position/credible/roussos_2024/variant_figures/roussos_2024.childhood.Astrocyte/rs4685508_profile_position.png",4,220,900)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0.03619110594</v>
      </c>
      <c r="G2464" t="n">
        <v>0.3298154983816979</v>
      </c>
      <c r="H2464" t="n">
        <v>0.0117623201122834</v>
      </c>
      <c r="I2464" t="n">
        <v>0.5215009957209003</v>
      </c>
      <c r="J2464" t="n">
        <v>0.08363750162197631</v>
      </c>
      <c r="K2464" t="n">
        <v>0.3598408762688493</v>
      </c>
      <c r="L2464" t="b">
        <v>0</v>
      </c>
      <c r="M2464" t="b">
        <v>0</v>
      </c>
      <c r="N2464" t="inlineStr">
        <is>
          <t>alt</t>
        </is>
      </c>
      <c r="O2464" t="n">
        <v>-95</v>
      </c>
      <c r="P2464" t="n">
        <v>0.00476</v>
      </c>
      <c r="Q2464" t="n">
        <v>-45</v>
      </c>
      <c r="R2464" t="n">
        <v>0.1443</v>
      </c>
      <c r="S2464">
        <f>IMAGE("https://mitra.stanford.edu/kundaje/oak/projects/neuro-variants/variant_position/credible/roussos_2024/variant_figures/roussos_2024.childhood.Astrocyte/rs12638682_count_position.png",4,220,900)</f>
        <v/>
      </c>
      <c r="T2464">
        <f>IMAGE("https://mitra.stanford.edu/kundaje/oak/projects/neuro-variants/variant_position/credible/roussos_2024/variant_figures/roussos_2024.childhood.Astrocyte/rs12638682_profile_position.png",4,220,900)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-0.09528405899999989</v>
      </c>
      <c r="G2465" t="n">
        <v>0.0760327356903715</v>
      </c>
      <c r="H2465" t="n">
        <v>0.0263294222840259</v>
      </c>
      <c r="I2465" t="n">
        <v>0.0504030458613456</v>
      </c>
      <c r="J2465" t="n">
        <v>0.0013334554586185</v>
      </c>
      <c r="K2465" t="n">
        <v>0.8905815745129684</v>
      </c>
      <c r="L2465" t="b">
        <v>0</v>
      </c>
      <c r="M2465" t="b">
        <v>0</v>
      </c>
      <c r="N2465" t="inlineStr">
        <is>
          <t>ref</t>
        </is>
      </c>
      <c r="O2465" t="n">
        <v>50</v>
      </c>
      <c r="P2465" t="n">
        <v>0.00383</v>
      </c>
      <c r="Q2465" t="n">
        <v>30</v>
      </c>
      <c r="R2465" t="n">
        <v>0.0321</v>
      </c>
      <c r="S2465">
        <f>IMAGE("https://mitra.stanford.edu/kundaje/oak/projects/neuro-variants/variant_position/credible/roussos_2024/variant_figures/roussos_2024.childhood.Astrocyte/rs56251018_count_position.png",4,220,900)</f>
        <v/>
      </c>
      <c r="T2465">
        <f>IMAGE("https://mitra.stanford.edu/kundaje/oak/projects/neuro-variants/variant_position/credible/roussos_2024/variant_figures/roussos_2024.childhood.Astrocyte/rs56251018_profile_position.png",4,220,900)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0.415599036</v>
      </c>
      <c r="G2466" t="n">
        <v>0.0027316377792929</v>
      </c>
      <c r="H2466" t="n">
        <v>0.0569876368209193</v>
      </c>
      <c r="I2466" t="n">
        <v>0.002730038089178</v>
      </c>
      <c r="J2466" t="n">
        <v>0.4348537931350323</v>
      </c>
      <c r="K2466" t="n">
        <v>0.0734196663145112</v>
      </c>
      <c r="L2466" t="b">
        <v>1</v>
      </c>
      <c r="M2466" t="b">
        <v>1</v>
      </c>
      <c r="N2466" t="inlineStr">
        <is>
          <t>alt</t>
        </is>
      </c>
      <c r="O2466" t="n">
        <v>-75</v>
      </c>
      <c r="P2466" t="n">
        <v>0.00961</v>
      </c>
      <c r="Q2466" t="n">
        <v>-85</v>
      </c>
      <c r="R2466" t="n">
        <v>0.08450000000000001</v>
      </c>
      <c r="S2466">
        <f>IMAGE("https://mitra.stanford.edu/kundaje/oak/projects/neuro-variants/variant_position/credible/roussos_2024/variant_figures/roussos_2024.childhood.Astrocyte/rs1720179_count_position.png",4,220,900)</f>
        <v/>
      </c>
      <c r="T2466">
        <f>IMAGE("https://mitra.stanford.edu/kundaje/oak/projects/neuro-variants/variant_position/credible/roussos_2024/variant_figures/roussos_2024.childhood.Astrocyte/rs1720179_profile_position.png",4,220,900)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-0.00334488252</v>
      </c>
      <c r="G2467" t="n">
        <v>0.8685412802394962</v>
      </c>
      <c r="H2467" t="n">
        <v>0.0121687807837848</v>
      </c>
      <c r="I2467" t="n">
        <v>0.4994780242185297</v>
      </c>
      <c r="J2467" t="n">
        <v>0.0024394525734087</v>
      </c>
      <c r="K2467" t="n">
        <v>0.8465212307847498</v>
      </c>
      <c r="L2467" t="b">
        <v>0</v>
      </c>
      <c r="M2467" t="b">
        <v>0</v>
      </c>
      <c r="N2467" t="inlineStr">
        <is>
          <t>ref</t>
        </is>
      </c>
      <c r="O2467" t="n">
        <v>65</v>
      </c>
      <c r="P2467" t="n">
        <v>0.0181</v>
      </c>
      <c r="Q2467" t="n">
        <v>85</v>
      </c>
      <c r="R2467" t="n">
        <v>0.0675</v>
      </c>
      <c r="S2467">
        <f>IMAGE("https://mitra.stanford.edu/kundaje/oak/projects/neuro-variants/variant_position/credible/roussos_2024/variant_figures/roussos_2024.childhood.Astrocyte/rs1685495_count_position.png",4,220,900)</f>
        <v/>
      </c>
      <c r="T2467">
        <f>IMAGE("https://mitra.stanford.edu/kundaje/oak/projects/neuro-variants/variant_position/credible/roussos_2024/variant_figures/roussos_2024.childhood.Astrocyte/rs1685495_profile_position.png",4,220,900)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-0.0114875239999999</v>
      </c>
      <c r="G2468" t="n">
        <v>0.7042849462033998</v>
      </c>
      <c r="H2468" t="n">
        <v>0.0179437802867307</v>
      </c>
      <c r="I2468" t="n">
        <v>0.1765257947629172</v>
      </c>
      <c r="J2468" t="n">
        <v>0.0387457733202048</v>
      </c>
      <c r="K2468" t="n">
        <v>0.4843999454960275</v>
      </c>
      <c r="L2468" t="b">
        <v>0</v>
      </c>
      <c r="M2468" t="b">
        <v>0</v>
      </c>
      <c r="N2468" t="inlineStr">
        <is>
          <t>ref</t>
        </is>
      </c>
      <c r="O2468" t="n">
        <v>95</v>
      </c>
      <c r="P2468" t="n">
        <v>0.005817</v>
      </c>
      <c r="Q2468" t="n">
        <v>-30</v>
      </c>
      <c r="R2468" t="n">
        <v>0.02097</v>
      </c>
      <c r="S2468">
        <f>IMAGE("https://mitra.stanford.edu/kundaje/oak/projects/neuro-variants/variant_position/credible/roussos_2024/variant_figures/roussos_2024.childhood.Astrocyte/rs4685517_count_position.png",4,220,900)</f>
        <v/>
      </c>
      <c r="T2468">
        <f>IMAGE("https://mitra.stanford.edu/kundaje/oak/projects/neuro-variants/variant_position/credible/roussos_2024/variant_figures/roussos_2024.childhood.Astrocyte/rs4685517_profile_position.png",4,220,900)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0.010141549</v>
      </c>
      <c r="G2469" t="n">
        <v>0.5748005739133454</v>
      </c>
      <c r="H2469" t="n">
        <v>0.0291320685766104</v>
      </c>
      <c r="I2469" t="n">
        <v>0.0336500394262871</v>
      </c>
      <c r="J2469" t="n">
        <v>0.0048727988825535</v>
      </c>
      <c r="K2469" t="n">
        <v>0.7824372435998039</v>
      </c>
      <c r="L2469" t="b">
        <v>0</v>
      </c>
      <c r="M2469" t="b">
        <v>0</v>
      </c>
      <c r="N2469" t="inlineStr">
        <is>
          <t>alt</t>
        </is>
      </c>
      <c r="O2469" t="n">
        <v>-95</v>
      </c>
      <c r="P2469" t="n">
        <v>0.006958</v>
      </c>
      <c r="Q2469" t="n">
        <v>35</v>
      </c>
      <c r="R2469" t="n">
        <v>0.0974</v>
      </c>
      <c r="S2469">
        <f>IMAGE("https://mitra.stanford.edu/kundaje/oak/projects/neuro-variants/variant_position/credible/roussos_2024/variant_figures/roussos_2024.childhood.Astrocyte/rs6787394_count_position.png",4,220,900)</f>
        <v/>
      </c>
      <c r="T2469">
        <f>IMAGE("https://mitra.stanford.edu/kundaje/oak/projects/neuro-variants/variant_position/credible/roussos_2024/variant_figures/roussos_2024.childhood.Astrocyte/rs6787394_profile_position.png",4,220,900)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0.01539536618</v>
      </c>
      <c r="G2470" t="n">
        <v>0.6206774451177959</v>
      </c>
      <c r="H2470" t="n">
        <v>0.0251860379338255</v>
      </c>
      <c r="I2470" t="n">
        <v>0.05651447765918</v>
      </c>
      <c r="J2470" t="n">
        <v>0.0224855548686007</v>
      </c>
      <c r="K2470" t="n">
        <v>0.5695331926078184</v>
      </c>
      <c r="L2470" t="b">
        <v>0</v>
      </c>
      <c r="M2470" t="b">
        <v>0</v>
      </c>
      <c r="N2470" t="inlineStr">
        <is>
          <t>alt</t>
        </is>
      </c>
      <c r="O2470" t="n">
        <v>30</v>
      </c>
      <c r="P2470" t="n">
        <v>0.008789999999999999</v>
      </c>
      <c r="Q2470" t="n">
        <v>-15</v>
      </c>
      <c r="R2470" t="n">
        <v>0.02777</v>
      </c>
      <c r="S2470">
        <f>IMAGE("https://mitra.stanford.edu/kundaje/oak/projects/neuro-variants/variant_position/credible/roussos_2024/variant_figures/roussos_2024.childhood.Astrocyte/rs67888396_count_position.png",4,220,900)</f>
        <v/>
      </c>
      <c r="T2470">
        <f>IMAGE("https://mitra.stanford.edu/kundaje/oak/projects/neuro-variants/variant_position/credible/roussos_2024/variant_figures/roussos_2024.childhood.Astrocyte/rs67888396_profile_position.png",4,220,900)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0.0034318333</v>
      </c>
      <c r="G2471" t="n">
        <v>0.6695042935475786</v>
      </c>
      <c r="H2471" t="n">
        <v>0.0228188253447653</v>
      </c>
      <c r="I2471" t="n">
        <v>0.08199069510061641</v>
      </c>
      <c r="J2471" t="n">
        <v>0.0208009892148107</v>
      </c>
      <c r="K2471" t="n">
        <v>0.5817265594303427</v>
      </c>
      <c r="L2471" t="b">
        <v>0</v>
      </c>
      <c r="M2471" t="b">
        <v>0</v>
      </c>
      <c r="N2471" t="inlineStr">
        <is>
          <t>alt</t>
        </is>
      </c>
      <c r="O2471" t="n">
        <v>-50</v>
      </c>
      <c r="P2471" t="n">
        <v>0.21</v>
      </c>
      <c r="Q2471" t="n">
        <v>-100</v>
      </c>
      <c r="R2471" t="n">
        <v>0.2688</v>
      </c>
      <c r="S2471">
        <f>IMAGE("https://mitra.stanford.edu/kundaje/oak/projects/neuro-variants/variant_position/credible/roussos_2024/variant_figures/roussos_2024.childhood.Astrocyte/rs67733815_count_position.png",4,220,900)</f>
        <v/>
      </c>
      <c r="T2471">
        <f>IMAGE("https://mitra.stanford.edu/kundaje/oak/projects/neuro-variants/variant_position/credible/roussos_2024/variant_figures/roussos_2024.childhood.Astrocyte/rs67733815_profile_position.png",4,220,900)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0.009361242699999999</v>
      </c>
      <c r="G2472" t="n">
        <v>0.6033790263409032</v>
      </c>
      <c r="H2472" t="n">
        <v>0.014701417554773</v>
      </c>
      <c r="I2472" t="n">
        <v>0.3159978312245962</v>
      </c>
      <c r="J2472" t="n">
        <v>0.0003228687229511</v>
      </c>
      <c r="K2472" t="n">
        <v>0.9548529445731468</v>
      </c>
      <c r="L2472" t="b">
        <v>0</v>
      </c>
      <c r="M2472" t="b">
        <v>0</v>
      </c>
      <c r="N2472" t="inlineStr">
        <is>
          <t>alt</t>
        </is>
      </c>
      <c r="O2472" t="n">
        <v>-40</v>
      </c>
      <c r="P2472" t="n">
        <v>0.002075</v>
      </c>
      <c r="Q2472" t="n">
        <v>-30</v>
      </c>
      <c r="R2472" t="n">
        <v>0.02173</v>
      </c>
      <c r="S2472">
        <f>IMAGE("https://mitra.stanford.edu/kundaje/oak/projects/neuro-variants/variant_position/credible/roussos_2024/variant_figures/roussos_2024.childhood.Astrocyte/rs1072848_count_position.png",4,220,900)</f>
        <v/>
      </c>
      <c r="T2472">
        <f>IMAGE("https://mitra.stanford.edu/kundaje/oak/projects/neuro-variants/variant_position/credible/roussos_2024/variant_figures/roussos_2024.childhood.Astrocyte/rs1072848_profile_position.png",4,220,900)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-0.0042111174859999</v>
      </c>
      <c r="G2473" t="n">
        <v>0.8230398785249391</v>
      </c>
      <c r="H2473" t="n">
        <v>0.008575310234884699</v>
      </c>
      <c r="I2473" t="n">
        <v>0.8509591068935477</v>
      </c>
      <c r="J2473" t="n">
        <v>0.0037912268248188</v>
      </c>
      <c r="K2473" t="n">
        <v>0.8111803787196061</v>
      </c>
      <c r="L2473" t="b">
        <v>0</v>
      </c>
      <c r="M2473" t="b">
        <v>0</v>
      </c>
      <c r="N2473" t="inlineStr">
        <is>
          <t>ref</t>
        </is>
      </c>
      <c r="O2473" t="n">
        <v>100</v>
      </c>
      <c r="P2473" t="n">
        <v>0.01315</v>
      </c>
      <c r="Q2473" t="n">
        <v>-80</v>
      </c>
      <c r="R2473" t="n">
        <v>0.07153</v>
      </c>
      <c r="S2473">
        <f>IMAGE("https://mitra.stanford.edu/kundaje/oak/projects/neuro-variants/variant_position/credible/roussos_2024/variant_figures/roussos_2024.childhood.Astrocyte/rs7642870_count_position.png",4,220,900)</f>
        <v/>
      </c>
      <c r="T2473">
        <f>IMAGE("https://mitra.stanford.edu/kundaje/oak/projects/neuro-variants/variant_position/credible/roussos_2024/variant_figures/roussos_2024.childhood.Astrocyte/rs7642870_profile_position.png",4,220,900)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0.004440976328</v>
      </c>
      <c r="G2474" t="n">
        <v>0.7461689751476691</v>
      </c>
      <c r="H2474" t="n">
        <v>0.0137907118859227</v>
      </c>
      <c r="I2474" t="n">
        <v>0.3737467948488316</v>
      </c>
      <c r="J2474" t="n">
        <v>0.001479242517918</v>
      </c>
      <c r="K2474" t="n">
        <v>0.9004727582056942</v>
      </c>
      <c r="L2474" t="b">
        <v>0</v>
      </c>
      <c r="M2474" t="b">
        <v>0</v>
      </c>
      <c r="N2474" t="inlineStr">
        <is>
          <t>alt</t>
        </is>
      </c>
      <c r="O2474" t="n">
        <v>-10</v>
      </c>
      <c r="P2474" t="n">
        <v>0.001953</v>
      </c>
      <c r="Q2474" t="n">
        <v>65</v>
      </c>
      <c r="R2474" t="n">
        <v>0.146</v>
      </c>
      <c r="S2474">
        <f>IMAGE("https://mitra.stanford.edu/kundaje/oak/projects/neuro-variants/variant_position/credible/roussos_2024/variant_figures/roussos_2024.childhood.Astrocyte/rs56345807_count_position.png",4,220,900)</f>
        <v/>
      </c>
      <c r="T2474">
        <f>IMAGE("https://mitra.stanford.edu/kundaje/oak/projects/neuro-variants/variant_position/credible/roussos_2024/variant_figures/roussos_2024.childhood.Astrocyte/rs56345807_profile_position.png",4,220,900)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-0.0232201768</v>
      </c>
      <c r="G2475" t="n">
        <v>0.4726087912566067</v>
      </c>
      <c r="H2475" t="n">
        <v>0.0135764771142555</v>
      </c>
      <c r="I2475" t="n">
        <v>0.3852940168454667</v>
      </c>
      <c r="J2475" t="n">
        <v>0.1241892025982153</v>
      </c>
      <c r="K2475" t="n">
        <v>0.2961509519980522</v>
      </c>
      <c r="L2475" t="b">
        <v>0</v>
      </c>
      <c r="M2475" t="b">
        <v>0</v>
      </c>
      <c r="N2475" t="inlineStr">
        <is>
          <t>ref</t>
        </is>
      </c>
      <c r="O2475" t="n">
        <v>45</v>
      </c>
      <c r="P2475" t="n">
        <v>0.0008965000000000001</v>
      </c>
      <c r="Q2475" t="n">
        <v>15</v>
      </c>
      <c r="R2475" t="n">
        <v>0.02417</v>
      </c>
      <c r="S2475">
        <f>IMAGE("https://mitra.stanford.edu/kundaje/oak/projects/neuro-variants/variant_position/credible/roussos_2024/variant_figures/roussos_2024.childhood.Astrocyte/rs138823185_count_position.png",4,220,900)</f>
        <v/>
      </c>
      <c r="T2475">
        <f>IMAGE("https://mitra.stanford.edu/kundaje/oak/projects/neuro-variants/variant_position/credible/roussos_2024/variant_figures/roussos_2024.childhood.Astrocyte/rs138823185_profile_position.png",4,220,900)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0.222385594</v>
      </c>
      <c r="G2476" t="n">
        <v>0.0127992199011175</v>
      </c>
      <c r="H2476" t="n">
        <v>0.0254064304923406</v>
      </c>
      <c r="I2476" t="n">
        <v>0.0642627914546101</v>
      </c>
      <c r="J2476" t="n">
        <v>0.086038790043736</v>
      </c>
      <c r="K2476" t="n">
        <v>0.3541713549513476</v>
      </c>
      <c r="L2476" t="b">
        <v>1</v>
      </c>
      <c r="M2476" t="b">
        <v>0</v>
      </c>
      <c r="N2476" t="inlineStr">
        <is>
          <t>alt</t>
        </is>
      </c>
      <c r="O2476" t="n">
        <v>-50</v>
      </c>
      <c r="P2476" t="n">
        <v>0.003899</v>
      </c>
      <c r="Q2476" t="n">
        <v>75</v>
      </c>
      <c r="R2476" t="n">
        <v>0.07104000000000001</v>
      </c>
      <c r="S2476">
        <f>IMAGE("https://mitra.stanford.edu/kundaje/oak/projects/neuro-variants/variant_position/credible/roussos_2024/variant_figures/roussos_2024.childhood.Astrocyte/rs9874028_count_position.png",4,220,900)</f>
        <v/>
      </c>
      <c r="T2476">
        <f>IMAGE("https://mitra.stanford.edu/kundaje/oak/projects/neuro-variants/variant_position/credible/roussos_2024/variant_figures/roussos_2024.childhood.Astrocyte/rs9874028_profile_position.png",4,220,900)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0.084129642</v>
      </c>
      <c r="G2477" t="n">
        <v>0.0948789381281152</v>
      </c>
      <c r="H2477" t="n">
        <v>0.0139643136329703</v>
      </c>
      <c r="I2477" t="n">
        <v>0.360907498191812</v>
      </c>
      <c r="J2477" t="n">
        <v>0.0125682184210726</v>
      </c>
      <c r="K2477" t="n">
        <v>0.6592880044219288</v>
      </c>
      <c r="L2477" t="b">
        <v>0</v>
      </c>
      <c r="M2477" t="b">
        <v>0</v>
      </c>
      <c r="N2477" t="inlineStr">
        <is>
          <t>alt</t>
        </is>
      </c>
      <c r="O2477" t="n">
        <v>0</v>
      </c>
      <c r="P2477" t="n">
        <v>0</v>
      </c>
      <c r="Q2477" t="n">
        <v>-65</v>
      </c>
      <c r="R2477" t="n">
        <v>0.001678</v>
      </c>
      <c r="S2477">
        <f>IMAGE("https://mitra.stanford.edu/kundaje/oak/projects/neuro-variants/variant_position/credible/roussos_2024/variant_figures/roussos_2024.childhood.Astrocyte/rs6787756_count_position.png",4,220,900)</f>
        <v/>
      </c>
      <c r="T2477">
        <f>IMAGE("https://mitra.stanford.edu/kundaje/oak/projects/neuro-variants/variant_position/credible/roussos_2024/variant_figures/roussos_2024.childhood.Astrocyte/rs6787756_profile_position.png",4,220,900)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0.009118591199999901</v>
      </c>
      <c r="G2478" t="n">
        <v>0.7066465604777364</v>
      </c>
      <c r="H2478" t="n">
        <v>0.0128489703353241</v>
      </c>
      <c r="I2478" t="n">
        <v>0.4327233033774749</v>
      </c>
      <c r="J2478" t="n">
        <v>0.0007449642401898</v>
      </c>
      <c r="K2478" t="n">
        <v>0.9464944712341994</v>
      </c>
      <c r="L2478" t="b">
        <v>0</v>
      </c>
      <c r="M2478" t="b">
        <v>0</v>
      </c>
      <c r="N2478" t="inlineStr">
        <is>
          <t>alt</t>
        </is>
      </c>
      <c r="O2478" t="n">
        <v>-100</v>
      </c>
      <c r="P2478" t="n">
        <v>0.01542</v>
      </c>
      <c r="Q2478" t="n">
        <v>-100</v>
      </c>
      <c r="R2478" t="n">
        <v>0.09467</v>
      </c>
      <c r="S2478">
        <f>IMAGE("https://mitra.stanford.edu/kundaje/oak/projects/neuro-variants/variant_position/credible/roussos_2024/variant_figures/roussos_2024.childhood.Astrocyte/rs9681617_count_position.png",4,220,900)</f>
        <v/>
      </c>
      <c r="T2478">
        <f>IMAGE("https://mitra.stanford.edu/kundaje/oak/projects/neuro-variants/variant_position/credible/roussos_2024/variant_figures/roussos_2024.childhood.Astrocyte/rs9681617_profile_position.png",4,220,900)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-0.0255750794</v>
      </c>
      <c r="G2479" t="n">
        <v>0.4505721041982281</v>
      </c>
      <c r="H2479" t="n">
        <v>0.0144906725943649</v>
      </c>
      <c r="I2479" t="n">
        <v>0.3251917121417298</v>
      </c>
      <c r="J2479" t="n">
        <v>0.0016143436147557</v>
      </c>
      <c r="K2479" t="n">
        <v>0.8903890344123587</v>
      </c>
      <c r="L2479" t="b">
        <v>0</v>
      </c>
      <c r="M2479" t="b">
        <v>0</v>
      </c>
      <c r="N2479" t="inlineStr">
        <is>
          <t>ref</t>
        </is>
      </c>
      <c r="O2479" t="n">
        <v>-95</v>
      </c>
      <c r="P2479" t="n">
        <v>0.003021</v>
      </c>
      <c r="Q2479" t="n">
        <v>-95</v>
      </c>
      <c r="R2479" t="n">
        <v>0.04947</v>
      </c>
      <c r="S2479">
        <f>IMAGE("https://mitra.stanford.edu/kundaje/oak/projects/neuro-variants/variant_position/credible/roussos_2024/variant_figures/roussos_2024.childhood.Astrocyte/rs55701200_count_position.png",4,220,900)</f>
        <v/>
      </c>
      <c r="T2479">
        <f>IMAGE("https://mitra.stanford.edu/kundaje/oak/projects/neuro-variants/variant_position/credible/roussos_2024/variant_figures/roussos_2024.childhood.Astrocyte/rs55701200_profile_position.png",4,220,900)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0.0448336136</v>
      </c>
      <c r="G2480" t="n">
        <v>0.2442121550933239</v>
      </c>
      <c r="H2480" t="n">
        <v>0.0125789963566556</v>
      </c>
      <c r="I2480" t="n">
        <v>0.4629591144286143</v>
      </c>
      <c r="J2480" t="n">
        <v>0.0336394098295588</v>
      </c>
      <c r="K2480" t="n">
        <v>0.5137089946126843</v>
      </c>
      <c r="L2480" t="b">
        <v>0</v>
      </c>
      <c r="M2480" t="b">
        <v>0</v>
      </c>
      <c r="N2480" t="inlineStr">
        <is>
          <t>alt</t>
        </is>
      </c>
      <c r="O2480" t="n">
        <v>-95</v>
      </c>
      <c r="P2480" t="n">
        <v>0.08550000000000001</v>
      </c>
      <c r="Q2480" t="n">
        <v>90</v>
      </c>
      <c r="R2480" t="n">
        <v>0.1709</v>
      </c>
      <c r="S2480">
        <f>IMAGE("https://mitra.stanford.edu/kundaje/oak/projects/neuro-variants/variant_position/credible/roussos_2024/variant_figures/roussos_2024.childhood.Astrocyte/rs11128837_count_position.png",4,220,900)</f>
        <v/>
      </c>
      <c r="T2480">
        <f>IMAGE("https://mitra.stanford.edu/kundaje/oak/projects/neuro-variants/variant_position/credible/roussos_2024/variant_figures/roussos_2024.childhood.Astrocyte/rs11128837_profile_position.png",4,220,900)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-0.0178242611</v>
      </c>
      <c r="G2481" t="n">
        <v>0.42650823592256</v>
      </c>
      <c r="H2481" t="n">
        <v>0.008653745318429299</v>
      </c>
      <c r="I2481" t="n">
        <v>0.8491640826078249</v>
      </c>
      <c r="J2481" t="n">
        <v>0.0257722516086189</v>
      </c>
      <c r="K2481" t="n">
        <v>0.5588899326679556</v>
      </c>
      <c r="L2481" t="b">
        <v>0</v>
      </c>
      <c r="M2481" t="b">
        <v>0</v>
      </c>
      <c r="N2481" t="inlineStr">
        <is>
          <t>ref</t>
        </is>
      </c>
      <c r="O2481" t="n">
        <v>95</v>
      </c>
      <c r="P2481" t="n">
        <v>0.02554</v>
      </c>
      <c r="Q2481" t="n">
        <v>-25</v>
      </c>
      <c r="R2481" t="n">
        <v>0.00877</v>
      </c>
      <c r="S2481">
        <f>IMAGE("https://mitra.stanford.edu/kundaje/oak/projects/neuro-variants/variant_position/credible/roussos_2024/variant_figures/roussos_2024.childhood.Astrocyte/rs13083917_count_position.png",4,220,900)</f>
        <v/>
      </c>
      <c r="T2481">
        <f>IMAGE("https://mitra.stanford.edu/kundaje/oak/projects/neuro-variants/variant_position/credible/roussos_2024/variant_figures/roussos_2024.childhood.Astrocyte/rs13083917_profile_position.png",4,220,900)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-0.06278569840000001</v>
      </c>
      <c r="G2482" t="n">
        <v>0.171148603115109</v>
      </c>
      <c r="H2482" t="n">
        <v>0.0110811876081241</v>
      </c>
      <c r="I2482" t="n">
        <v>0.5904705388732471</v>
      </c>
      <c r="J2482" t="n">
        <v>0.0053338218344744</v>
      </c>
      <c r="K2482" t="n">
        <v>0.7642562588042167</v>
      </c>
      <c r="L2482" t="b">
        <v>0</v>
      </c>
      <c r="M2482" t="b">
        <v>0</v>
      </c>
      <c r="N2482" t="inlineStr">
        <is>
          <t>ref</t>
        </is>
      </c>
      <c r="O2482" t="n">
        <v>-40</v>
      </c>
      <c r="P2482" t="n">
        <v>0.006958</v>
      </c>
      <c r="Q2482" t="n">
        <v>40</v>
      </c>
      <c r="R2482" t="n">
        <v>0.03137</v>
      </c>
      <c r="S2482">
        <f>IMAGE("https://mitra.stanford.edu/kundaje/oak/projects/neuro-variants/variant_position/credible/roussos_2024/variant_figures/roussos_2024.childhood.Astrocyte/rs4909009_count_position.png",4,220,900)</f>
        <v/>
      </c>
      <c r="T2482">
        <f>IMAGE("https://mitra.stanford.edu/kundaje/oak/projects/neuro-variants/variant_position/credible/roussos_2024/variant_figures/roussos_2024.childhood.Astrocyte/rs4909009_profile_position.png",4,220,900)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0.20208292</v>
      </c>
      <c r="G2483" t="n">
        <v>0.0191886199657646</v>
      </c>
      <c r="H2483" t="n">
        <v>0.0589397930634765</v>
      </c>
      <c r="I2483" t="n">
        <v>0.0043710896372623</v>
      </c>
      <c r="J2483" t="n">
        <v>0.3041919504171341</v>
      </c>
      <c r="K2483" t="n">
        <v>0.1310392237369273</v>
      </c>
      <c r="L2483" t="b">
        <v>1</v>
      </c>
      <c r="M2483" t="b">
        <v>1</v>
      </c>
      <c r="N2483" t="inlineStr">
        <is>
          <t>alt</t>
        </is>
      </c>
      <c r="O2483" t="n">
        <v>-100</v>
      </c>
      <c r="P2483" t="n">
        <v>0.00431</v>
      </c>
      <c r="Q2483" t="n">
        <v>-100</v>
      </c>
      <c r="R2483" t="n">
        <v>0.1655</v>
      </c>
      <c r="S2483">
        <f>IMAGE("https://mitra.stanford.edu/kundaje/oak/projects/neuro-variants/variant_position/credible/roussos_2024/variant_figures/roussos_2024.childhood.Astrocyte/rs6797952_count_position.png",4,220,900)</f>
        <v/>
      </c>
      <c r="T2483">
        <f>IMAGE("https://mitra.stanford.edu/kundaje/oak/projects/neuro-variants/variant_position/credible/roussos_2024/variant_figures/roussos_2024.childhood.Astrocyte/rs6797952_profile_position.png",4,220,900)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0.2952608076</v>
      </c>
      <c r="G2484" t="n">
        <v>0.016222283290917</v>
      </c>
      <c r="H2484" t="n">
        <v>0.029247606981736</v>
      </c>
      <c r="I2484" t="n">
        <v>0.0580347491357763</v>
      </c>
      <c r="J2484" t="n">
        <v>0.0076900765572881</v>
      </c>
      <c r="K2484" t="n">
        <v>0.7541283543034902</v>
      </c>
      <c r="L2484" t="b">
        <v>1</v>
      </c>
      <c r="M2484" t="b">
        <v>0</v>
      </c>
      <c r="N2484" t="inlineStr">
        <is>
          <t>alt</t>
        </is>
      </c>
      <c r="O2484" t="n">
        <v>25</v>
      </c>
      <c r="P2484" t="n">
        <v>0.002121</v>
      </c>
      <c r="Q2484" t="n">
        <v>-95</v>
      </c>
      <c r="R2484" t="n">
        <v>0.01953</v>
      </c>
      <c r="S2484">
        <f>IMAGE("https://mitra.stanford.edu/kundaje/oak/projects/neuro-variants/variant_position/credible/roussos_2024/variant_figures/roussos_2024.childhood.Astrocyte/rs35642812_count_position.png",4,220,900)</f>
        <v/>
      </c>
      <c r="T2484">
        <f>IMAGE("https://mitra.stanford.edu/kundaje/oak/projects/neuro-variants/variant_position/credible/roussos_2024/variant_figures/roussos_2024.childhood.Astrocyte/rs35642812_profile_position.png",4,220,900)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0.1285594268</v>
      </c>
      <c r="G2485" t="n">
        <v>0.0448979800574738</v>
      </c>
      <c r="H2485" t="n">
        <v>0.0226354384558757</v>
      </c>
      <c r="I2485" t="n">
        <v>0.0834864894215864</v>
      </c>
      <c r="J2485" t="n">
        <v>0.0248150946852602</v>
      </c>
      <c r="K2485" t="n">
        <v>0.5559644662274937</v>
      </c>
      <c r="L2485" t="b">
        <v>0</v>
      </c>
      <c r="M2485" t="b">
        <v>0</v>
      </c>
      <c r="N2485" t="inlineStr">
        <is>
          <t>alt</t>
        </is>
      </c>
      <c r="O2485" t="n">
        <v>10</v>
      </c>
      <c r="P2485" t="n">
        <v>0.002167</v>
      </c>
      <c r="Q2485" t="n">
        <v>5</v>
      </c>
      <c r="R2485" t="n">
        <v>0.02661</v>
      </c>
      <c r="S2485">
        <f>IMAGE("https://mitra.stanford.edu/kundaje/oak/projects/neuro-variants/variant_position/credible/roussos_2024/variant_figures/roussos_2024.childhood.Astrocyte/rs6810235_count_position.png",4,220,900)</f>
        <v/>
      </c>
      <c r="T2485">
        <f>IMAGE("https://mitra.stanford.edu/kundaje/oak/projects/neuro-variants/variant_position/credible/roussos_2024/variant_figures/roussos_2024.childhood.Astrocyte/rs6810235_profile_position.png",4,220,900)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-0.335019388</v>
      </c>
      <c r="G2486" t="n">
        <v>0.0040936275610976</v>
      </c>
      <c r="H2486" t="n">
        <v>0.047754467777535</v>
      </c>
      <c r="I2486" t="n">
        <v>0.0049333719223786</v>
      </c>
      <c r="J2486" t="n">
        <v>0.0645569523635058</v>
      </c>
      <c r="K2486" t="n">
        <v>0.402520784832477</v>
      </c>
      <c r="L2486" t="b">
        <v>1</v>
      </c>
      <c r="M2486" t="b">
        <v>1</v>
      </c>
      <c r="N2486" t="inlineStr">
        <is>
          <t>ref</t>
        </is>
      </c>
      <c r="O2486" t="n">
        <v>25</v>
      </c>
      <c r="P2486" t="n">
        <v>0.002182</v>
      </c>
      <c r="Q2486" t="n">
        <v>45</v>
      </c>
      <c r="R2486" t="n">
        <v>0.031</v>
      </c>
      <c r="S2486">
        <f>IMAGE("https://mitra.stanford.edu/kundaje/oak/projects/neuro-variants/variant_position/credible/roussos_2024/variant_figures/roussos_2024.childhood.Astrocyte/rs13071934_count_position.png",4,220,900)</f>
        <v/>
      </c>
      <c r="T2486">
        <f>IMAGE("https://mitra.stanford.edu/kundaje/oak/projects/neuro-variants/variant_position/credible/roussos_2024/variant_figures/roussos_2024.childhood.Astrocyte/rs13071934_profile_position.png",4,220,900)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0.0623750829599999</v>
      </c>
      <c r="G2487" t="n">
        <v>0.1612614128316574</v>
      </c>
      <c r="H2487" t="n">
        <v>0.0117771502713469</v>
      </c>
      <c r="I2487" t="n">
        <v>0.5432908924400121</v>
      </c>
      <c r="J2487" t="n">
        <v>0.07840748627998741</v>
      </c>
      <c r="K2487" t="n">
        <v>0.3901856368045363</v>
      </c>
      <c r="L2487" t="b">
        <v>0</v>
      </c>
      <c r="M2487" t="b">
        <v>0</v>
      </c>
      <c r="N2487" t="inlineStr">
        <is>
          <t>alt</t>
        </is>
      </c>
      <c r="O2487" t="n">
        <v>-95</v>
      </c>
      <c r="P2487" t="n">
        <v>0.005642</v>
      </c>
      <c r="Q2487" t="n">
        <v>-50</v>
      </c>
      <c r="R2487" t="n">
        <v>0.0925</v>
      </c>
      <c r="S2487">
        <f>IMAGE("https://mitra.stanford.edu/kundaje/oak/projects/neuro-variants/variant_position/credible/roussos_2024/variant_figures/roussos_2024.childhood.Astrocyte/rs9880456_count_position.png",4,220,900)</f>
        <v/>
      </c>
      <c r="T2487">
        <f>IMAGE("https://mitra.stanford.edu/kundaje/oak/projects/neuro-variants/variant_position/credible/roussos_2024/variant_figures/roussos_2024.childhood.Astrocyte/rs9880456_profile_position.png",4,220,900)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0.02118614172</v>
      </c>
      <c r="G2488" t="n">
        <v>0.500590730058644</v>
      </c>
      <c r="H2488" t="n">
        <v>0.0117602458055129</v>
      </c>
      <c r="I2488" t="n">
        <v>0.5371357837868926</v>
      </c>
      <c r="J2488" t="n">
        <v>0.0114759604008761</v>
      </c>
      <c r="K2488" t="n">
        <v>0.6822180834500503</v>
      </c>
      <c r="L2488" t="b">
        <v>0</v>
      </c>
      <c r="M2488" t="b">
        <v>0</v>
      </c>
      <c r="N2488" t="inlineStr">
        <is>
          <t>alt</t>
        </is>
      </c>
      <c r="O2488" t="n">
        <v>80</v>
      </c>
      <c r="P2488" t="n">
        <v>0.003876</v>
      </c>
      <c r="Q2488" t="n">
        <v>80</v>
      </c>
      <c r="R2488" t="n">
        <v>0.05188</v>
      </c>
      <c r="S2488">
        <f>IMAGE("https://mitra.stanford.edu/kundaje/oak/projects/neuro-variants/variant_position/credible/roussos_2024/variant_figures/roussos_2024.childhood.Astrocyte/rs4566568_count_position.png",4,220,900)</f>
        <v/>
      </c>
      <c r="T2488">
        <f>IMAGE("https://mitra.stanford.edu/kundaje/oak/projects/neuro-variants/variant_position/credible/roussos_2024/variant_figures/roussos_2024.childhood.Astrocyte/rs4566568_profile_position.png",4,220,900)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-0.09075886399999999</v>
      </c>
      <c r="G2489" t="n">
        <v>0.0895416339051283</v>
      </c>
      <c r="H2489" t="n">
        <v>0.0164394106655952</v>
      </c>
      <c r="I2489" t="n">
        <v>0.227806592205151</v>
      </c>
      <c r="J2489" t="n">
        <v>0.0075336035355269</v>
      </c>
      <c r="K2489" t="n">
        <v>0.7230710271605724</v>
      </c>
      <c r="L2489" t="b">
        <v>0</v>
      </c>
      <c r="M2489" t="b">
        <v>0</v>
      </c>
      <c r="N2489" t="inlineStr">
        <is>
          <t>ref</t>
        </is>
      </c>
      <c r="O2489" t="n">
        <v>45</v>
      </c>
      <c r="P2489" t="n">
        <v>0.000553</v>
      </c>
      <c r="Q2489" t="n">
        <v>30</v>
      </c>
      <c r="R2489" t="n">
        <v>0.02576</v>
      </c>
      <c r="S2489">
        <f>IMAGE("https://mitra.stanford.edu/kundaje/oak/projects/neuro-variants/variant_position/credible/roussos_2024/variant_figures/roussos_2024.childhood.Astrocyte/rs7609916_count_position.png",4,220,900)</f>
        <v/>
      </c>
      <c r="T2489">
        <f>IMAGE("https://mitra.stanford.edu/kundaje/oak/projects/neuro-variants/variant_position/credible/roussos_2024/variant_figures/roussos_2024.childhood.Astrocyte/rs7609916_profile_position.png",4,220,900)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-0.00569347694</v>
      </c>
      <c r="G2490" t="n">
        <v>0.6915501441776705</v>
      </c>
      <c r="H2490" t="n">
        <v>0.0218266798142813</v>
      </c>
      <c r="I2490" t="n">
        <v>0.0930043920073394</v>
      </c>
      <c r="J2490" t="n">
        <v>0.0226679795134833</v>
      </c>
      <c r="K2490" t="n">
        <v>0.5881111829146622</v>
      </c>
      <c r="L2490" t="b">
        <v>0</v>
      </c>
      <c r="M2490" t="b">
        <v>0</v>
      </c>
      <c r="N2490" t="inlineStr">
        <is>
          <t>ref</t>
        </is>
      </c>
      <c r="O2490" t="n">
        <v>10</v>
      </c>
      <c r="P2490" t="n">
        <v>0.00111</v>
      </c>
      <c r="Q2490" t="n">
        <v>75</v>
      </c>
      <c r="R2490" t="n">
        <v>0.06464</v>
      </c>
      <c r="S2490">
        <f>IMAGE("https://mitra.stanford.edu/kundaje/oak/projects/neuro-variants/variant_position/credible/roussos_2024/variant_figures/roussos_2024.childhood.Astrocyte/rs11709790_count_position.png",4,220,900)</f>
        <v/>
      </c>
      <c r="T2490">
        <f>IMAGE("https://mitra.stanford.edu/kundaje/oak/projects/neuro-variants/variant_position/credible/roussos_2024/variant_figures/roussos_2024.childhood.Astrocyte/rs11709790_profile_position.png",4,220,900)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0.064143068</v>
      </c>
      <c r="G2491" t="n">
        <v>0.147248551096134</v>
      </c>
      <c r="H2491" t="n">
        <v>0.0127825576071703</v>
      </c>
      <c r="I2491" t="n">
        <v>0.4529006462337761</v>
      </c>
      <c r="J2491" t="n">
        <v>0.0039789944509322</v>
      </c>
      <c r="K2491" t="n">
        <v>0.8152039435110153</v>
      </c>
      <c r="L2491" t="b">
        <v>0</v>
      </c>
      <c r="M2491" t="b">
        <v>0</v>
      </c>
      <c r="N2491" t="inlineStr">
        <is>
          <t>alt</t>
        </is>
      </c>
      <c r="O2491" t="n">
        <v>-30</v>
      </c>
      <c r="P2491" t="n">
        <v>0.0003967</v>
      </c>
      <c r="Q2491" t="n">
        <v>-90</v>
      </c>
      <c r="R2491" t="n">
        <v>0.2754</v>
      </c>
      <c r="S2491">
        <f>IMAGE("https://mitra.stanford.edu/kundaje/oak/projects/neuro-variants/variant_position/credible/roussos_2024/variant_figures/roussos_2024.childhood.Astrocyte/rs4616675_count_position.png",4,220,900)</f>
        <v/>
      </c>
      <c r="T2491">
        <f>IMAGE("https://mitra.stanford.edu/kundaje/oak/projects/neuro-variants/variant_position/credible/roussos_2024/variant_figures/roussos_2024.childhood.Astrocyte/rs4616675_profile_position.png",4,220,900)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-0.0351904324</v>
      </c>
      <c r="G2492" t="n">
        <v>0.3400925506295436</v>
      </c>
      <c r="H2492" t="n">
        <v>0.009650563070516</v>
      </c>
      <c r="I2492" t="n">
        <v>0.754635564376983</v>
      </c>
      <c r="J2492" t="n">
        <v>0.0065451520078159</v>
      </c>
      <c r="K2492" t="n">
        <v>0.7435977035025957</v>
      </c>
      <c r="L2492" t="b">
        <v>0</v>
      </c>
      <c r="M2492" t="b">
        <v>0</v>
      </c>
      <c r="N2492" t="inlineStr">
        <is>
          <t>ref</t>
        </is>
      </c>
      <c r="O2492" t="n">
        <v>-35</v>
      </c>
      <c r="P2492" t="n">
        <v>0.001308</v>
      </c>
      <c r="Q2492" t="n">
        <v>-75</v>
      </c>
      <c r="R2492" t="n">
        <v>0.02734</v>
      </c>
      <c r="S2492">
        <f>IMAGE("https://mitra.stanford.edu/kundaje/oak/projects/neuro-variants/variant_position/credible/roussos_2024/variant_figures/roussos_2024.childhood.Astrocyte/rs17200916_count_position.png",4,220,900)</f>
        <v/>
      </c>
      <c r="T2492">
        <f>IMAGE("https://mitra.stanford.edu/kundaje/oak/projects/neuro-variants/variant_position/credible/roussos_2024/variant_figures/roussos_2024.childhood.Astrocyte/rs17200916_profile_position.png",4,220,900)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-0.009088593400000001</v>
      </c>
      <c r="G2493" t="n">
        <v>0.3391931806539821</v>
      </c>
      <c r="H2493" t="n">
        <v>0.0149357003957821</v>
      </c>
      <c r="I2493" t="n">
        <v>0.3075088317315395</v>
      </c>
      <c r="J2493" t="n">
        <v>0.050428583423019</v>
      </c>
      <c r="K2493" t="n">
        <v>0.448815475761185</v>
      </c>
      <c r="L2493" t="b">
        <v>0</v>
      </c>
      <c r="M2493" t="b">
        <v>0</v>
      </c>
      <c r="N2493" t="inlineStr">
        <is>
          <t>ref</t>
        </is>
      </c>
      <c r="O2493" t="n">
        <v>95</v>
      </c>
      <c r="P2493" t="n">
        <v>0.0442</v>
      </c>
      <c r="Q2493" t="n">
        <v>95</v>
      </c>
      <c r="R2493" t="n">
        <v>0.31</v>
      </c>
      <c r="S2493">
        <f>IMAGE("https://mitra.stanford.edu/kundaje/oak/projects/neuro-variants/variant_position/credible/roussos_2024/variant_figures/roussos_2024.childhood.Astrocyte/rs11128871_count_position.png",4,220,900)</f>
        <v/>
      </c>
      <c r="T2493">
        <f>IMAGE("https://mitra.stanford.edu/kundaje/oak/projects/neuro-variants/variant_position/credible/roussos_2024/variant_figures/roussos_2024.childhood.Astrocyte/rs11128871_profile_position.png",4,220,900)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-0.01798625834</v>
      </c>
      <c r="G2494" t="n">
        <v>0.5588035599042318</v>
      </c>
      <c r="H2494" t="n">
        <v>0.0061521101331476</v>
      </c>
      <c r="I2494" t="n">
        <v>0.9844300660576204</v>
      </c>
      <c r="J2494" t="n">
        <v>0.0261241250868234</v>
      </c>
      <c r="K2494" t="n">
        <v>0.5595114891424545</v>
      </c>
      <c r="L2494" t="b">
        <v>0</v>
      </c>
      <c r="M2494" t="b">
        <v>0</v>
      </c>
      <c r="N2494" t="inlineStr">
        <is>
          <t>ref</t>
        </is>
      </c>
      <c r="O2494" t="n">
        <v>-85</v>
      </c>
      <c r="P2494" t="n">
        <v>0.007805</v>
      </c>
      <c r="Q2494" t="n">
        <v>-100</v>
      </c>
      <c r="R2494" t="n">
        <v>0.2454</v>
      </c>
      <c r="S2494">
        <f>IMAGE("https://mitra.stanford.edu/kundaje/oak/projects/neuro-variants/variant_position/credible/roussos_2024/variant_figures/roussos_2024.childhood.Astrocyte/rs12495352_count_position.png",4,220,900)</f>
        <v/>
      </c>
      <c r="T2494">
        <f>IMAGE("https://mitra.stanford.edu/kundaje/oak/projects/neuro-variants/variant_position/credible/roussos_2024/variant_figures/roussos_2024.childhood.Astrocyte/rs12495352_profile_position.png",4,220,900)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0.073693363</v>
      </c>
      <c r="G2495" t="n">
        <v>0.1251797770988603</v>
      </c>
      <c r="H2495" t="n">
        <v>0.0272265250856949</v>
      </c>
      <c r="I2495" t="n">
        <v>0.0438704601668368</v>
      </c>
      <c r="J2495" t="n">
        <v>0.0198736003297382</v>
      </c>
      <c r="K2495" t="n">
        <v>0.6152869652283715</v>
      </c>
      <c r="L2495" t="b">
        <v>0</v>
      </c>
      <c r="M2495" t="b">
        <v>0</v>
      </c>
      <c r="N2495" t="inlineStr">
        <is>
          <t>alt</t>
        </is>
      </c>
      <c r="O2495" t="n">
        <v>-30</v>
      </c>
      <c r="P2495" t="n">
        <v>0.002747</v>
      </c>
      <c r="Q2495" t="n">
        <v>85</v>
      </c>
      <c r="R2495" t="n">
        <v>0.1034</v>
      </c>
      <c r="S2495">
        <f>IMAGE("https://mitra.stanford.edu/kundaje/oak/projects/neuro-variants/variant_position/credible/roussos_2024/variant_figures/roussos_2024.childhood.Astrocyte/rs6771673_count_position.png",4,220,900)</f>
        <v/>
      </c>
      <c r="T2495">
        <f>IMAGE("https://mitra.stanford.edu/kundaje/oak/projects/neuro-variants/variant_position/credible/roussos_2024/variant_figures/roussos_2024.childhood.Astrocyte/rs6771673_profile_position.png",4,220,900)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-0.01095780654</v>
      </c>
      <c r="G2496" t="n">
        <v>0.7136342738814626</v>
      </c>
      <c r="H2496" t="n">
        <v>0.0068708268592393</v>
      </c>
      <c r="I2496" t="n">
        <v>0.9679731537552348</v>
      </c>
      <c r="J2496" t="n">
        <v>0.0328715470983794</v>
      </c>
      <c r="K2496" t="n">
        <v>0.5409635735858358</v>
      </c>
      <c r="L2496" t="b">
        <v>0</v>
      </c>
      <c r="M2496" t="b">
        <v>0</v>
      </c>
      <c r="N2496" t="inlineStr">
        <is>
          <t>ref</t>
        </is>
      </c>
      <c r="O2496" t="n">
        <v>85</v>
      </c>
      <c r="P2496" t="n">
        <v>0.10925</v>
      </c>
      <c r="Q2496" t="n">
        <v>100</v>
      </c>
      <c r="R2496" t="n">
        <v>0.275</v>
      </c>
      <c r="S2496">
        <f>IMAGE("https://mitra.stanford.edu/kundaje/oak/projects/neuro-variants/variant_position/credible/roussos_2024/variant_figures/roussos_2024.childhood.Astrocyte/rs4908979_count_position.png",4,220,900)</f>
        <v/>
      </c>
      <c r="T2496">
        <f>IMAGE("https://mitra.stanford.edu/kundaje/oak/projects/neuro-variants/variant_position/credible/roussos_2024/variant_figures/roussos_2024.childhood.Astrocyte/rs4908979_profile_position.png",4,220,900)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0.1394318732</v>
      </c>
      <c r="G2497" t="n">
        <v>0.0356953122895015</v>
      </c>
      <c r="H2497" t="n">
        <v>0.0249632071037114</v>
      </c>
      <c r="I2497" t="n">
        <v>0.0616153644591149</v>
      </c>
      <c r="J2497" t="n">
        <v>0.003209605153687</v>
      </c>
      <c r="K2497" t="n">
        <v>0.9012101577481548</v>
      </c>
      <c r="L2497" t="b">
        <v>0</v>
      </c>
      <c r="M2497" t="b">
        <v>0</v>
      </c>
      <c r="N2497" t="inlineStr">
        <is>
          <t>alt</t>
        </is>
      </c>
      <c r="O2497" t="n">
        <v>40</v>
      </c>
      <c r="P2497" t="n">
        <v>0.002695</v>
      </c>
      <c r="Q2497" t="n">
        <v>-100</v>
      </c>
      <c r="R2497" t="n">
        <v>0.0919</v>
      </c>
      <c r="S2497">
        <f>IMAGE("https://mitra.stanford.edu/kundaje/oak/projects/neuro-variants/variant_position/credible/roussos_2024/variant_figures/roussos_2024.childhood.Astrocyte/rs2033373_count_position.png",4,220,900)</f>
        <v/>
      </c>
      <c r="T2497">
        <f>IMAGE("https://mitra.stanford.edu/kundaje/oak/projects/neuro-variants/variant_position/credible/roussos_2024/variant_figures/roussos_2024.childhood.Astrocyte/rs2033373_profile_position.png",4,220,900)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-0.01482681408</v>
      </c>
      <c r="G2498" t="n">
        <v>0.5987346439264998</v>
      </c>
      <c r="H2498" t="n">
        <v>0.0148690834608404</v>
      </c>
      <c r="I2498" t="n">
        <v>0.3037446495772873</v>
      </c>
      <c r="J2498" t="n">
        <v>0.0423354934243166</v>
      </c>
      <c r="K2498" t="n">
        <v>0.4764335952643162</v>
      </c>
      <c r="L2498" t="b">
        <v>0</v>
      </c>
      <c r="M2498" t="b">
        <v>0</v>
      </c>
      <c r="N2498" t="inlineStr">
        <is>
          <t>ref</t>
        </is>
      </c>
      <c r="O2498" t="n">
        <v>25</v>
      </c>
      <c r="P2498" t="n">
        <v>0.004715</v>
      </c>
      <c r="Q2498" t="n">
        <v>-25</v>
      </c>
      <c r="R2498" t="n">
        <v>0.008999999999999999</v>
      </c>
      <c r="S2498">
        <f>IMAGE("https://mitra.stanford.edu/kundaje/oak/projects/neuro-variants/variant_position/credible/roussos_2024/variant_figures/roussos_2024.childhood.Astrocyte/rs7638304_count_position.png",4,220,900)</f>
        <v/>
      </c>
      <c r="T2498">
        <f>IMAGE("https://mitra.stanford.edu/kundaje/oak/projects/neuro-variants/variant_position/credible/roussos_2024/variant_figures/roussos_2024.childhood.Astrocyte/rs7638304_profile_position.png",4,220,900)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0.01148312404</v>
      </c>
      <c r="G2499" t="n">
        <v>0.6806965601475273</v>
      </c>
      <c r="H2499" t="n">
        <v>0.0301815662876513</v>
      </c>
      <c r="I2499" t="n">
        <v>0.0299264993569692</v>
      </c>
      <c r="J2499" t="n">
        <v>0.0121903933197468</v>
      </c>
      <c r="K2499" t="n">
        <v>0.6609520442331981</v>
      </c>
      <c r="L2499" t="b">
        <v>0</v>
      </c>
      <c r="M2499" t="b">
        <v>0</v>
      </c>
      <c r="N2499" t="inlineStr">
        <is>
          <t>alt</t>
        </is>
      </c>
      <c r="O2499" t="n">
        <v>75</v>
      </c>
      <c r="P2499" t="n">
        <v>0.01276</v>
      </c>
      <c r="Q2499" t="n">
        <v>75</v>
      </c>
      <c r="R2499" t="n">
        <v>0.101</v>
      </c>
      <c r="S2499">
        <f>IMAGE("https://mitra.stanford.edu/kundaje/oak/projects/neuro-variants/variant_position/credible/roussos_2024/variant_figures/roussos_2024.childhood.Astrocyte/rs6781559_count_position.png",4,220,900)</f>
        <v/>
      </c>
      <c r="T2499">
        <f>IMAGE("https://mitra.stanford.edu/kundaje/oak/projects/neuro-variants/variant_position/credible/roussos_2024/variant_figures/roussos_2024.childhood.Astrocyte/rs6781559_profile_position.png",4,220,900)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0.1384970872</v>
      </c>
      <c r="G2500" t="n">
        <v>0.0380479752705099</v>
      </c>
      <c r="H2500" t="n">
        <v>0.0239481979534407</v>
      </c>
      <c r="I2500" t="n">
        <v>0.0697290229847105</v>
      </c>
      <c r="J2500" t="n">
        <v>0.1753856487524138</v>
      </c>
      <c r="K2500" t="n">
        <v>0.2260736121030859</v>
      </c>
      <c r="L2500" t="b">
        <v>0</v>
      </c>
      <c r="M2500" t="b">
        <v>0</v>
      </c>
      <c r="N2500" t="inlineStr">
        <is>
          <t>alt</t>
        </is>
      </c>
      <c r="O2500" t="n">
        <v>-20</v>
      </c>
      <c r="P2500" t="n">
        <v>0.006042</v>
      </c>
      <c r="Q2500" t="n">
        <v>-40</v>
      </c>
      <c r="R2500" t="n">
        <v>0.03906</v>
      </c>
      <c r="S2500">
        <f>IMAGE("https://mitra.stanford.edu/kundaje/oak/projects/neuro-variants/variant_position/credible/roussos_2024/variant_figures/roussos_2024.childhood.Astrocyte/rs58274299_count_position.png",4,220,900)</f>
        <v/>
      </c>
      <c r="T2500">
        <f>IMAGE("https://mitra.stanford.edu/kundaje/oak/projects/neuro-variants/variant_position/credible/roussos_2024/variant_figures/roussos_2024.childhood.Astrocyte/rs58274299_profile_position.png",4,220,900)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-0.1339425172</v>
      </c>
      <c r="G2501" t="n">
        <v>0.0410570264932459</v>
      </c>
      <c r="H2501" t="n">
        <v>0.0283860423701938</v>
      </c>
      <c r="I2501" t="n">
        <v>0.0451056673345155</v>
      </c>
      <c r="J2501" t="n">
        <v>0.0192339691480997</v>
      </c>
      <c r="K2501" t="n">
        <v>0.6001638329038661</v>
      </c>
      <c r="L2501" t="b">
        <v>0</v>
      </c>
      <c r="M2501" t="b">
        <v>0</v>
      </c>
      <c r="N2501" t="inlineStr">
        <is>
          <t>ref</t>
        </is>
      </c>
      <c r="O2501" t="n">
        <v>15</v>
      </c>
      <c r="P2501" t="n">
        <v>0.004177</v>
      </c>
      <c r="Q2501" t="n">
        <v>60</v>
      </c>
      <c r="R2501" t="n">
        <v>0.04987</v>
      </c>
      <c r="S2501">
        <f>IMAGE("https://mitra.stanford.edu/kundaje/oak/projects/neuro-variants/variant_position/credible/roussos_2024/variant_figures/roussos_2024.childhood.Astrocyte/rs78158283_count_position.png",4,220,900)</f>
        <v/>
      </c>
      <c r="T2501">
        <f>IMAGE("https://mitra.stanford.edu/kundaje/oak/projects/neuro-variants/variant_position/credible/roussos_2024/variant_figures/roussos_2024.childhood.Astrocyte/rs78158283_profile_position.png",4,220,900)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0.0052109024</v>
      </c>
      <c r="G2502" t="n">
        <v>0.8109443880206799</v>
      </c>
      <c r="H2502" t="n">
        <v>0.0100777893538293</v>
      </c>
      <c r="I2502" t="n">
        <v>0.709905397181013</v>
      </c>
      <c r="J2502" t="n">
        <v>0.0206254341172249</v>
      </c>
      <c r="K2502" t="n">
        <v>0.6026888219761529</v>
      </c>
      <c r="L2502" t="b">
        <v>0</v>
      </c>
      <c r="M2502" t="b">
        <v>0</v>
      </c>
      <c r="N2502" t="inlineStr">
        <is>
          <t>alt</t>
        </is>
      </c>
      <c r="O2502" t="n">
        <v>-95</v>
      </c>
      <c r="P2502" t="n">
        <v>0.009339999999999999</v>
      </c>
      <c r="Q2502" t="n">
        <v>-20</v>
      </c>
      <c r="R2502" t="n">
        <v>0.04608</v>
      </c>
      <c r="S2502">
        <f>IMAGE("https://mitra.stanford.edu/kundaje/oak/projects/neuro-variants/variant_position/credible/roussos_2024/variant_figures/roussos_2024.childhood.Astrocyte/rs77704657_count_position.png",4,220,900)</f>
        <v/>
      </c>
      <c r="T2502">
        <f>IMAGE("https://mitra.stanford.edu/kundaje/oak/projects/neuro-variants/variant_position/credible/roussos_2024/variant_figures/roussos_2024.childhood.Astrocyte/rs77704657_profile_position.png",4,220,900)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-0.009664770059999999</v>
      </c>
      <c r="G2503" t="n">
        <v>0.7027854871166564</v>
      </c>
      <c r="H2503" t="n">
        <v>0.0078658505983041</v>
      </c>
      <c r="I2503" t="n">
        <v>0.902382059032087</v>
      </c>
      <c r="J2503" t="n">
        <v>0.0032355567768083</v>
      </c>
      <c r="K2503" t="n">
        <v>0.8236179614427673</v>
      </c>
      <c r="L2503" t="b">
        <v>0</v>
      </c>
      <c r="M2503" t="b">
        <v>0</v>
      </c>
      <c r="N2503" t="inlineStr">
        <is>
          <t>ref</t>
        </is>
      </c>
      <c r="O2503" t="n">
        <v>50</v>
      </c>
      <c r="P2503" t="n">
        <v>0.02971</v>
      </c>
      <c r="Q2503" t="n">
        <v>90</v>
      </c>
      <c r="R2503" t="n">
        <v>0.07935</v>
      </c>
      <c r="S2503">
        <f>IMAGE("https://mitra.stanford.edu/kundaje/oak/projects/neuro-variants/variant_position/credible/roussos_2024/variant_figures/roussos_2024.childhood.Astrocyte/rs2362188_count_position.png",4,220,900)</f>
        <v/>
      </c>
      <c r="T2503">
        <f>IMAGE("https://mitra.stanford.edu/kundaje/oak/projects/neuro-variants/variant_position/credible/roussos_2024/variant_figures/roussos_2024.childhood.Astrocyte/rs2362188_profile_position.png",4,220,900)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0.153850333</v>
      </c>
      <c r="G2504" t="n">
        <v>0.0316700402886634</v>
      </c>
      <c r="H2504" t="n">
        <v>0.0266202088466248</v>
      </c>
      <c r="I2504" t="n">
        <v>0.0488510382008903</v>
      </c>
      <c r="J2504" t="n">
        <v>0.4213436834512605</v>
      </c>
      <c r="K2504" t="n">
        <v>0.0792956794424254</v>
      </c>
      <c r="L2504" t="b">
        <v>0</v>
      </c>
      <c r="M2504" t="b">
        <v>0</v>
      </c>
      <c r="N2504" t="inlineStr">
        <is>
          <t>alt</t>
        </is>
      </c>
      <c r="O2504" t="n">
        <v>-30</v>
      </c>
      <c r="P2504" t="n">
        <v>0.003784</v>
      </c>
      <c r="Q2504" t="n">
        <v>-85</v>
      </c>
      <c r="R2504" t="n">
        <v>0.05615</v>
      </c>
      <c r="S2504">
        <f>IMAGE("https://mitra.stanford.edu/kundaje/oak/projects/neuro-variants/variant_position/credible/roussos_2024/variant_figures/roussos_2024.childhood.Astrocyte/rs79369190_count_position.png",4,220,900)</f>
        <v/>
      </c>
      <c r="T2504">
        <f>IMAGE("https://mitra.stanford.edu/kundaje/oak/projects/neuro-variants/variant_position/credible/roussos_2024/variant_figures/roussos_2024.childhood.Astrocyte/rs79369190_profile_position.png",4,220,900)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-0.0035719549999999</v>
      </c>
      <c r="G2505" t="n">
        <v>0.3755136249465916</v>
      </c>
      <c r="H2505" t="n">
        <v>0.017837912724307</v>
      </c>
      <c r="I2505" t="n">
        <v>0.1784525770935594</v>
      </c>
      <c r="J2505" t="n">
        <v>0.0091319182065901</v>
      </c>
      <c r="K2505" t="n">
        <v>0.7130212355536711</v>
      </c>
      <c r="L2505" t="b">
        <v>0</v>
      </c>
      <c r="M2505" t="b">
        <v>0</v>
      </c>
      <c r="N2505" t="inlineStr">
        <is>
          <t>ref</t>
        </is>
      </c>
      <c r="O2505" t="n">
        <v>95</v>
      </c>
      <c r="P2505" t="n">
        <v>0.004223</v>
      </c>
      <c r="Q2505" t="n">
        <v>50</v>
      </c>
      <c r="R2505" t="n">
        <v>0.1606</v>
      </c>
      <c r="S2505">
        <f>IMAGE("https://mitra.stanford.edu/kundaje/oak/projects/neuro-variants/variant_position/credible/roussos_2024/variant_figures/roussos_2024.childhood.Astrocyte/rs1440502_count_position.png",4,220,900)</f>
        <v/>
      </c>
      <c r="T2505">
        <f>IMAGE("https://mitra.stanford.edu/kundaje/oak/projects/neuro-variants/variant_position/credible/roussos_2024/variant_figures/roussos_2024.childhood.Astrocyte/rs1440502_profile_position.png",4,220,900)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0.0451341666</v>
      </c>
      <c r="G2506" t="n">
        <v>0.2513691447744639</v>
      </c>
      <c r="H2506" t="n">
        <v>0.008991396844372199</v>
      </c>
      <c r="I2506" t="n">
        <v>0.7997390659073325</v>
      </c>
      <c r="J2506" t="n">
        <v>0.1007342782777281</v>
      </c>
      <c r="K2506" t="n">
        <v>0.323033110510473</v>
      </c>
      <c r="L2506" t="b">
        <v>0</v>
      </c>
      <c r="M2506" t="b">
        <v>0</v>
      </c>
      <c r="N2506" t="inlineStr">
        <is>
          <t>alt</t>
        </is>
      </c>
      <c r="O2506" t="n">
        <v>-100</v>
      </c>
      <c r="P2506" t="n">
        <v>0.02075</v>
      </c>
      <c r="Q2506" t="n">
        <v>80</v>
      </c>
      <c r="R2506" t="n">
        <v>0.1537</v>
      </c>
      <c r="S2506">
        <f>IMAGE("https://mitra.stanford.edu/kundaje/oak/projects/neuro-variants/variant_position/credible/roussos_2024/variant_figures/roussos_2024.childhood.Astrocyte/rs7634119_count_position.png",4,220,900)</f>
        <v/>
      </c>
      <c r="T2506">
        <f>IMAGE("https://mitra.stanford.edu/kundaje/oak/projects/neuro-variants/variant_position/credible/roussos_2024/variant_figures/roussos_2024.childhood.Astrocyte/rs7634119_profile_position.png",4,220,900)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0.0219434348</v>
      </c>
      <c r="G2507" t="n">
        <v>0.4518133713945773</v>
      </c>
      <c r="H2507" t="n">
        <v>0.0110299971039461</v>
      </c>
      <c r="I2507" t="n">
        <v>0.6063856168136832</v>
      </c>
      <c r="J2507" t="n">
        <v>0.0387801210566889</v>
      </c>
      <c r="K2507" t="n">
        <v>0.6547555618867781</v>
      </c>
      <c r="L2507" t="b">
        <v>0</v>
      </c>
      <c r="M2507" t="b">
        <v>0</v>
      </c>
      <c r="N2507" t="inlineStr">
        <is>
          <t>alt</t>
        </is>
      </c>
      <c r="O2507" t="n">
        <v>25</v>
      </c>
      <c r="P2507" t="n">
        <v>0.0003414</v>
      </c>
      <c r="Q2507" t="n">
        <v>100</v>
      </c>
      <c r="R2507" t="n">
        <v>0.3987</v>
      </c>
      <c r="S2507">
        <f>IMAGE("https://mitra.stanford.edu/kundaje/oak/projects/neuro-variants/variant_position/credible/roussos_2024/variant_figures/roussos_2024.childhood.Astrocyte/rs140030786_count_position.png",4,220,900)</f>
        <v/>
      </c>
      <c r="T2507">
        <f>IMAGE("https://mitra.stanford.edu/kundaje/oak/projects/neuro-variants/variant_position/credible/roussos_2024/variant_figures/roussos_2024.childhood.Astrocyte/rs140030786_profile_position.png",4,220,900)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-0.0206940997999999</v>
      </c>
      <c r="G2508" t="n">
        <v>0.2899691335725358</v>
      </c>
      <c r="H2508" t="n">
        <v>0.0133772320253832</v>
      </c>
      <c r="I2508" t="n">
        <v>0.4000460670313763</v>
      </c>
      <c r="J2508" t="n">
        <v>0.0140902047888377</v>
      </c>
      <c r="K2508" t="n">
        <v>0.6712243485345536</v>
      </c>
      <c r="L2508" t="b">
        <v>0</v>
      </c>
      <c r="M2508" t="b">
        <v>0</v>
      </c>
      <c r="N2508" t="inlineStr">
        <is>
          <t>ref</t>
        </is>
      </c>
      <c r="O2508" t="n">
        <v>95</v>
      </c>
      <c r="P2508" t="n">
        <v>0.00659</v>
      </c>
      <c r="Q2508" t="n">
        <v>10</v>
      </c>
      <c r="R2508" t="n">
        <v>0.010254</v>
      </c>
      <c r="S2508">
        <f>IMAGE("https://mitra.stanford.edu/kundaje/oak/projects/neuro-variants/variant_position/credible/roussos_2024/variant_figures/roussos_2024.childhood.Astrocyte/rs7632532_count_position.png",4,220,900)</f>
        <v/>
      </c>
      <c r="T2508">
        <f>IMAGE("https://mitra.stanford.edu/kundaje/oak/projects/neuro-variants/variant_position/credible/roussos_2024/variant_figures/roussos_2024.childhood.Astrocyte/rs7632532_profile_position.png",4,220,900)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0.0209422762</v>
      </c>
      <c r="G2509" t="n">
        <v>0.3715815105599603</v>
      </c>
      <c r="H2509" t="n">
        <v>0.0325890095492629</v>
      </c>
      <c r="I2509" t="n">
        <v>0.0217696336996624</v>
      </c>
      <c r="J2509" t="n">
        <v>0.0073733140986008</v>
      </c>
      <c r="K2509" t="n">
        <v>0.7297069058238148</v>
      </c>
      <c r="L2509" t="b">
        <v>0</v>
      </c>
      <c r="M2509" t="b">
        <v>0</v>
      </c>
      <c r="N2509" t="inlineStr">
        <is>
          <t>alt</t>
        </is>
      </c>
      <c r="O2509" t="n">
        <v>80</v>
      </c>
      <c r="P2509" t="n">
        <v>0.0066</v>
      </c>
      <c r="Q2509" t="n">
        <v>-5</v>
      </c>
      <c r="R2509" t="n">
        <v>0.00537</v>
      </c>
      <c r="S2509">
        <f>IMAGE("https://mitra.stanford.edu/kundaje/oak/projects/neuro-variants/variant_position/credible/roussos_2024/variant_figures/roussos_2024.childhood.Astrocyte/rs7634890_count_position.png",4,220,900)</f>
        <v/>
      </c>
      <c r="T2509">
        <f>IMAGE("https://mitra.stanford.edu/kundaje/oak/projects/neuro-variants/variant_position/credible/roussos_2024/variant_figures/roussos_2024.childhood.Astrocyte/rs7634890_profile_position.png",4,220,900)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0.0536025338</v>
      </c>
      <c r="G2510" t="n">
        <v>0.2025081129939936</v>
      </c>
      <c r="H2510" t="n">
        <v>0.0178685109334834</v>
      </c>
      <c r="I2510" t="n">
        <v>0.1814800795226273</v>
      </c>
      <c r="J2510" t="n">
        <v>0.1411424820437666</v>
      </c>
      <c r="K2510" t="n">
        <v>0.2671109766084186</v>
      </c>
      <c r="L2510" t="b">
        <v>0</v>
      </c>
      <c r="M2510" t="b">
        <v>0</v>
      </c>
      <c r="N2510" t="inlineStr">
        <is>
          <t>alt</t>
        </is>
      </c>
      <c r="O2510" t="n">
        <v>75</v>
      </c>
      <c r="P2510" t="n">
        <v>0.00344</v>
      </c>
      <c r="Q2510" t="n">
        <v>75</v>
      </c>
      <c r="R2510" t="n">
        <v>0.05725</v>
      </c>
      <c r="S2510">
        <f>IMAGE("https://mitra.stanford.edu/kundaje/oak/projects/neuro-variants/variant_position/credible/roussos_2024/variant_figures/roussos_2024.childhood.Astrocyte/rs1595901_count_position.png",4,220,900)</f>
        <v/>
      </c>
      <c r="T2510">
        <f>IMAGE("https://mitra.stanford.edu/kundaje/oak/projects/neuro-variants/variant_position/credible/roussos_2024/variant_figures/roussos_2024.childhood.Astrocyte/rs1595901_profile_position.png",4,220,900)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0.18619032</v>
      </c>
      <c r="G2511" t="n">
        <v>0.0192759590463693</v>
      </c>
      <c r="H2511" t="n">
        <v>0.0234769650229986</v>
      </c>
      <c r="I2511" t="n">
        <v>0.0743099039261399</v>
      </c>
      <c r="J2511" t="n">
        <v>0.0488982009418912</v>
      </c>
      <c r="K2511" t="n">
        <v>0.4585445451504556</v>
      </c>
      <c r="L2511" t="b">
        <v>1</v>
      </c>
      <c r="M2511" t="b">
        <v>0</v>
      </c>
      <c r="N2511" t="inlineStr">
        <is>
          <t>alt</t>
        </is>
      </c>
      <c r="O2511" t="n">
        <v>-100</v>
      </c>
      <c r="P2511" t="n">
        <v>0.006874</v>
      </c>
      <c r="Q2511" t="n">
        <v>5</v>
      </c>
      <c r="R2511" t="n">
        <v>0.009155</v>
      </c>
      <c r="S2511">
        <f>IMAGE("https://mitra.stanford.edu/kundaje/oak/projects/neuro-variants/variant_position/credible/roussos_2024/variant_figures/roussos_2024.childhood.Astrocyte/rs6780082_count_position.png",4,220,900)</f>
        <v/>
      </c>
      <c r="T2511">
        <f>IMAGE("https://mitra.stanford.edu/kundaje/oak/projects/neuro-variants/variant_position/credible/roussos_2024/variant_figures/roussos_2024.childhood.Astrocyte/rs6780082_profile_position.png",4,220,900)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-0.0375627462</v>
      </c>
      <c r="G2512" t="n">
        <v>0.3159583976747487</v>
      </c>
      <c r="H2512" t="n">
        <v>0.009439630987225899</v>
      </c>
      <c r="I2512" t="n">
        <v>0.7791876085560279</v>
      </c>
      <c r="J2512" t="n">
        <v>0.202505858197278</v>
      </c>
      <c r="K2512" t="n">
        <v>0.2013747842153621</v>
      </c>
      <c r="L2512" t="b">
        <v>0</v>
      </c>
      <c r="M2512" t="b">
        <v>0</v>
      </c>
      <c r="N2512" t="inlineStr">
        <is>
          <t>ref</t>
        </is>
      </c>
      <c r="O2512" t="n">
        <v>5</v>
      </c>
      <c r="P2512" t="n">
        <v>5.83e-05</v>
      </c>
      <c r="Q2512" t="n">
        <v>-100</v>
      </c>
      <c r="R2512" t="n">
        <v>0.04443</v>
      </c>
      <c r="S2512">
        <f>IMAGE("https://mitra.stanford.edu/kundaje/oak/projects/neuro-variants/variant_position/credible/roussos_2024/variant_figures/roussos_2024.childhood.Astrocyte/rs17551079_count_position.png",4,220,900)</f>
        <v/>
      </c>
      <c r="T2512">
        <f>IMAGE("https://mitra.stanford.edu/kundaje/oak/projects/neuro-variants/variant_position/credible/roussos_2024/variant_figures/roussos_2024.childhood.Astrocyte/rs17551079_profile_position.png",4,220,900)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0.00693066116</v>
      </c>
      <c r="G2513" t="n">
        <v>0.7790844149254311</v>
      </c>
      <c r="H2513" t="n">
        <v>0.0399240229783164</v>
      </c>
      <c r="I2513" t="n">
        <v>0.0096099530367588</v>
      </c>
      <c r="J2513" t="n">
        <v>0.1298886370054879</v>
      </c>
      <c r="K2513" t="n">
        <v>0.2767149846610996</v>
      </c>
      <c r="L2513" t="b">
        <v>1</v>
      </c>
      <c r="M2513" t="b">
        <v>1</v>
      </c>
      <c r="N2513" t="inlineStr">
        <is>
          <t>alt</t>
        </is>
      </c>
      <c r="O2513" t="n">
        <v>50</v>
      </c>
      <c r="P2513" t="n">
        <v>0.006104</v>
      </c>
      <c r="Q2513" t="n">
        <v>-100</v>
      </c>
      <c r="R2513" t="n">
        <v>0.147</v>
      </c>
      <c r="S2513">
        <f>IMAGE("https://mitra.stanford.edu/kundaje/oak/projects/neuro-variants/variant_position/credible/roussos_2024/variant_figures/roussos_2024.childhood.Astrocyte/rs2028408_count_position.png",4,220,900)</f>
        <v/>
      </c>
      <c r="T2513">
        <f>IMAGE("https://mitra.stanford.edu/kundaje/oak/projects/neuro-variants/variant_position/credible/roussos_2024/variant_figures/roussos_2024.childhood.Astrocyte/rs2028408_profile_position.png",4,220,900)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-0.0330294109999999</v>
      </c>
      <c r="G2514" t="n">
        <v>0.354075040885523</v>
      </c>
      <c r="H2514" t="n">
        <v>0.0521490354403407</v>
      </c>
      <c r="I2514" t="n">
        <v>0.003424448380076</v>
      </c>
      <c r="J2514" t="n">
        <v>0.1281666704830817</v>
      </c>
      <c r="K2514" t="n">
        <v>0.2791951259400436</v>
      </c>
      <c r="L2514" t="b">
        <v>1</v>
      </c>
      <c r="M2514" t="b">
        <v>1</v>
      </c>
      <c r="N2514" t="inlineStr">
        <is>
          <t>ref</t>
        </is>
      </c>
      <c r="O2514" t="n">
        <v>45</v>
      </c>
      <c r="P2514" t="n">
        <v>0.003723</v>
      </c>
      <c r="Q2514" t="n">
        <v>-100</v>
      </c>
      <c r="R2514" t="n">
        <v>0.1611</v>
      </c>
      <c r="S2514">
        <f>IMAGE("https://mitra.stanford.edu/kundaje/oak/projects/neuro-variants/variant_position/credible/roussos_2024/variant_figures/roussos_2024.childhood.Astrocyte/rs2028409_count_position.png",4,220,900)</f>
        <v/>
      </c>
      <c r="T2514">
        <f>IMAGE("https://mitra.stanford.edu/kundaje/oak/projects/neuro-variants/variant_position/credible/roussos_2024/variant_figures/roussos_2024.childhood.Astrocyte/rs2028409_profile_position.png",4,220,900)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-0.0020964433599999</v>
      </c>
      <c r="G2515" t="n">
        <v>0.8950363169382701</v>
      </c>
      <c r="H2515" t="n">
        <v>0.011256255909517</v>
      </c>
      <c r="I2515" t="n">
        <v>0.5843119962102148</v>
      </c>
      <c r="J2515" t="n">
        <v>0.0551319334722508</v>
      </c>
      <c r="K2515" t="n">
        <v>0.4368363867033281</v>
      </c>
      <c r="L2515" t="b">
        <v>0</v>
      </c>
      <c r="M2515" t="b">
        <v>0</v>
      </c>
      <c r="N2515" t="inlineStr">
        <is>
          <t>ref</t>
        </is>
      </c>
      <c r="O2515" t="n">
        <v>-100</v>
      </c>
      <c r="P2515" t="n">
        <v>0.004124</v>
      </c>
      <c r="Q2515" t="n">
        <v>95</v>
      </c>
      <c r="R2515" t="n">
        <v>0.0757</v>
      </c>
      <c r="S2515">
        <f>IMAGE("https://mitra.stanford.edu/kundaje/oak/projects/neuro-variants/variant_position/credible/roussos_2024/variant_figures/roussos_2024.childhood.Astrocyte/rs12715161_count_position.png",4,220,900)</f>
        <v/>
      </c>
      <c r="T2515">
        <f>IMAGE("https://mitra.stanford.edu/kundaje/oak/projects/neuro-variants/variant_position/credible/roussos_2024/variant_figures/roussos_2024.childhood.Astrocyte/rs12715161_profile_position.png",4,220,900)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0.02420753272</v>
      </c>
      <c r="G2516" t="n">
        <v>0.4026502967999521</v>
      </c>
      <c r="H2516" t="n">
        <v>0.0299348391716483</v>
      </c>
      <c r="I2516" t="n">
        <v>0.0313570308080389</v>
      </c>
      <c r="J2516" t="n">
        <v>0.0604901803637806</v>
      </c>
      <c r="K2516" t="n">
        <v>0.4203621631830019</v>
      </c>
      <c r="L2516" t="b">
        <v>0</v>
      </c>
      <c r="M2516" t="b">
        <v>0</v>
      </c>
      <c r="N2516" t="inlineStr">
        <is>
          <t>alt</t>
        </is>
      </c>
      <c r="O2516" t="n">
        <v>-75</v>
      </c>
      <c r="P2516" t="n">
        <v>0.0037</v>
      </c>
      <c r="Q2516" t="n">
        <v>70</v>
      </c>
      <c r="R2516" t="n">
        <v>0.2383</v>
      </c>
      <c r="S2516">
        <f>IMAGE("https://mitra.stanford.edu/kundaje/oak/projects/neuro-variants/variant_position/credible/roussos_2024/variant_figures/roussos_2024.childhood.Astrocyte/rs7340606_count_position.png",4,220,900)</f>
        <v/>
      </c>
      <c r="T2516">
        <f>IMAGE("https://mitra.stanford.edu/kundaje/oak/projects/neuro-variants/variant_position/credible/roussos_2024/variant_figures/roussos_2024.childhood.Astrocyte/rs7340606_profile_position.png",4,220,900)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0.0021389539399999</v>
      </c>
      <c r="G2517" t="n">
        <v>0.7444777503459784</v>
      </c>
      <c r="H2517" t="n">
        <v>0.019315189109339</v>
      </c>
      <c r="I2517" t="n">
        <v>0.1396903345895171</v>
      </c>
      <c r="J2517" t="n">
        <v>0.0142680497355224</v>
      </c>
      <c r="K2517" t="n">
        <v>0.6386843894915142</v>
      </c>
      <c r="L2517" t="b">
        <v>0</v>
      </c>
      <c r="M2517" t="b">
        <v>0</v>
      </c>
      <c r="N2517" t="inlineStr">
        <is>
          <t>alt</t>
        </is>
      </c>
      <c r="O2517" t="n">
        <v>-30</v>
      </c>
      <c r="P2517" t="n">
        <v>0.003052</v>
      </c>
      <c r="Q2517" t="n">
        <v>-35</v>
      </c>
      <c r="R2517" t="n">
        <v>0.01923</v>
      </c>
      <c r="S2517">
        <f>IMAGE("https://mitra.stanford.edu/kundaje/oak/projects/neuro-variants/variant_position/credible/roussos_2024/variant_figures/roussos_2024.childhood.Astrocyte/rs7612854_count_position.png",4,220,900)</f>
        <v/>
      </c>
      <c r="T2517">
        <f>IMAGE("https://mitra.stanford.edu/kundaje/oak/projects/neuro-variants/variant_position/credible/roussos_2024/variant_figures/roussos_2024.childhood.Astrocyte/rs7612854_profile_position.png",4,220,900)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-0.0011375546</v>
      </c>
      <c r="G2518" t="n">
        <v>0.8254397249602822</v>
      </c>
      <c r="H2518" t="n">
        <v>0.0436687358682466</v>
      </c>
      <c r="I2518" t="n">
        <v>0.006808378989158</v>
      </c>
      <c r="J2518" t="n">
        <v>0.0050147695266881</v>
      </c>
      <c r="K2518" t="n">
        <v>0.7747277593846247</v>
      </c>
      <c r="L2518" t="b">
        <v>0</v>
      </c>
      <c r="M2518" t="b">
        <v>0</v>
      </c>
      <c r="N2518" t="inlineStr">
        <is>
          <t>ref</t>
        </is>
      </c>
      <c r="O2518" t="n">
        <v>100</v>
      </c>
      <c r="P2518" t="n">
        <v>0.0002365</v>
      </c>
      <c r="Q2518" t="n">
        <v>35</v>
      </c>
      <c r="R2518" t="n">
        <v>0.02762</v>
      </c>
      <c r="S2518">
        <f>IMAGE("https://mitra.stanford.edu/kundaje/oak/projects/neuro-variants/variant_position/credible/roussos_2024/variant_figures/roussos_2024.childhood.Astrocyte/rs1449281_count_position.png",4,220,900)</f>
        <v/>
      </c>
      <c r="T2518">
        <f>IMAGE("https://mitra.stanford.edu/kundaje/oak/projects/neuro-variants/variant_position/credible/roussos_2024/variant_figures/roussos_2024.childhood.Astrocyte/rs1449281_profile_position.png",4,220,900)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0.0276566616</v>
      </c>
      <c r="G2519" t="n">
        <v>0.4008280183049183</v>
      </c>
      <c r="H2519" t="n">
        <v>0.009546499724550701</v>
      </c>
      <c r="I2519" t="n">
        <v>0.7642573312433817</v>
      </c>
      <c r="J2519" t="n">
        <v>0.0047903643149916</v>
      </c>
      <c r="K2519" t="n">
        <v>0.7826300037589259</v>
      </c>
      <c r="L2519" t="b">
        <v>0</v>
      </c>
      <c r="M2519" t="b">
        <v>0</v>
      </c>
      <c r="N2519" t="inlineStr">
        <is>
          <t>alt</t>
        </is>
      </c>
      <c r="O2519" t="n">
        <v>100</v>
      </c>
      <c r="P2519" t="n">
        <v>0.01822</v>
      </c>
      <c r="Q2519" t="n">
        <v>80</v>
      </c>
      <c r="R2519" t="n">
        <v>0.0727</v>
      </c>
      <c r="S2519">
        <f>IMAGE("https://mitra.stanford.edu/kundaje/oak/projects/neuro-variants/variant_position/credible/roussos_2024/variant_figures/roussos_2024.childhood.Astrocyte/rs3773124_count_position.png",4,220,900)</f>
        <v/>
      </c>
      <c r="T2519">
        <f>IMAGE("https://mitra.stanford.edu/kundaje/oak/projects/neuro-variants/variant_position/credible/roussos_2024/variant_figures/roussos_2024.childhood.Astrocyte/rs3773124_profile_position.png",4,220,900)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0.01135634514</v>
      </c>
      <c r="G2520" t="n">
        <v>0.6806110512170376</v>
      </c>
      <c r="H2520" t="n">
        <v>0.0295740555125671</v>
      </c>
      <c r="I2520" t="n">
        <v>0.0310836233786816</v>
      </c>
      <c r="J2520" t="n">
        <v>0.0210582155969254</v>
      </c>
      <c r="K2520" t="n">
        <v>0.5951928597672187</v>
      </c>
      <c r="L2520" t="b">
        <v>0</v>
      </c>
      <c r="M2520" t="b">
        <v>0</v>
      </c>
      <c r="N2520" t="inlineStr">
        <is>
          <t>alt</t>
        </is>
      </c>
      <c r="O2520" t="n">
        <v>70</v>
      </c>
      <c r="P2520" t="n">
        <v>0.00891</v>
      </c>
      <c r="Q2520" t="n">
        <v>85</v>
      </c>
      <c r="R2520" t="n">
        <v>0.1818</v>
      </c>
      <c r="S2520">
        <f>IMAGE("https://mitra.stanford.edu/kundaje/oak/projects/neuro-variants/variant_position/credible/roussos_2024/variant_figures/roussos_2024.childhood.Astrocyte/rs4680866_count_position.png",4,220,900)</f>
        <v/>
      </c>
      <c r="T2520">
        <f>IMAGE("https://mitra.stanford.edu/kundaje/oak/projects/neuro-variants/variant_position/credible/roussos_2024/variant_figures/roussos_2024.childhood.Astrocyte/rs4680866_profile_position.png",4,220,900)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0.0231617077</v>
      </c>
      <c r="G2521" t="n">
        <v>0.4770395818002042</v>
      </c>
      <c r="H2521" t="n">
        <v>0.0210056369025086</v>
      </c>
      <c r="I2521" t="n">
        <v>0.1094709211446395</v>
      </c>
      <c r="J2521" t="n">
        <v>0.0037561158053017</v>
      </c>
      <c r="K2521" t="n">
        <v>0.8089508352244374</v>
      </c>
      <c r="L2521" t="b">
        <v>0</v>
      </c>
      <c r="M2521" t="b">
        <v>0</v>
      </c>
      <c r="N2521" t="inlineStr">
        <is>
          <t>alt</t>
        </is>
      </c>
      <c r="O2521" t="n">
        <v>35</v>
      </c>
      <c r="P2521" t="n">
        <v>0.003181</v>
      </c>
      <c r="Q2521" t="n">
        <v>75</v>
      </c>
      <c r="R2521" t="n">
        <v>0.02766</v>
      </c>
      <c r="S2521">
        <f>IMAGE("https://mitra.stanford.edu/kundaje/oak/projects/neuro-variants/variant_position/credible/roussos_2024/variant_figures/roussos_2024.childhood.Astrocyte/rs62237196_count_position.png",4,220,900)</f>
        <v/>
      </c>
      <c r="T2521">
        <f>IMAGE("https://mitra.stanford.edu/kundaje/oak/projects/neuro-variants/variant_position/credible/roussos_2024/variant_figures/roussos_2024.childhood.Astrocyte/rs62237196_profile_position.png",4,220,900)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0.01217607514</v>
      </c>
      <c r="G2522" t="n">
        <v>0.6744112302902467</v>
      </c>
      <c r="H2522" t="n">
        <v>0.0289514395546719</v>
      </c>
      <c r="I2522" t="n">
        <v>0.0343504727395192</v>
      </c>
      <c r="J2522" t="n">
        <v>0.014610000534298</v>
      </c>
      <c r="K2522" t="n">
        <v>0.6642548986364263</v>
      </c>
      <c r="L2522" t="b">
        <v>0</v>
      </c>
      <c r="M2522" t="b">
        <v>0</v>
      </c>
      <c r="N2522" t="inlineStr">
        <is>
          <t>alt</t>
        </is>
      </c>
      <c r="O2522" t="n">
        <v>50</v>
      </c>
      <c r="P2522" t="n">
        <v>0.003052</v>
      </c>
      <c r="Q2522" t="n">
        <v>95</v>
      </c>
      <c r="R2522" t="n">
        <v>0.2097</v>
      </c>
      <c r="S2522">
        <f>IMAGE("https://mitra.stanford.edu/kundaje/oak/projects/neuro-variants/variant_position/credible/roussos_2024/variant_figures/roussos_2024.childhood.Astrocyte/rs56077410_count_position.png",4,220,900)</f>
        <v/>
      </c>
      <c r="T2522">
        <f>IMAGE("https://mitra.stanford.edu/kundaje/oak/projects/neuro-variants/variant_position/credible/roussos_2024/variant_figures/roussos_2024.childhood.Astrocyte/rs56077410_profile_position.png",4,220,900)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0.0208585902599999</v>
      </c>
      <c r="G2523" t="n">
        <v>0.5363410797739152</v>
      </c>
      <c r="H2523" t="n">
        <v>0.0247630376676507</v>
      </c>
      <c r="I2523" t="n">
        <v>0.0614091469624826</v>
      </c>
      <c r="J2523" t="n">
        <v>0.894234159968858</v>
      </c>
      <c r="K2523" t="n">
        <v>0.0022416909471717</v>
      </c>
      <c r="L2523" t="b">
        <v>0</v>
      </c>
      <c r="M2523" t="b">
        <v>0</v>
      </c>
      <c r="N2523" t="inlineStr">
        <is>
          <t>alt</t>
        </is>
      </c>
      <c r="O2523" t="n">
        <v>100</v>
      </c>
      <c r="P2523" t="n">
        <v>0.031</v>
      </c>
      <c r="Q2523" t="n">
        <v>100</v>
      </c>
      <c r="R2523" t="n">
        <v>0.586</v>
      </c>
      <c r="S2523">
        <f>IMAGE("https://mitra.stanford.edu/kundaje/oak/projects/neuro-variants/variant_position/credible/roussos_2024/variant_figures/roussos_2024.childhood.Astrocyte/rs76150980_count_position.png",4,220,900)</f>
        <v/>
      </c>
      <c r="T2523">
        <f>IMAGE("https://mitra.stanford.edu/kundaje/oak/projects/neuro-variants/variant_position/credible/roussos_2024/variant_figures/roussos_2024.childhood.Astrocyte/rs76150980_profile_position.png",4,220,900)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-0.0095021176</v>
      </c>
      <c r="G2524" t="n">
        <v>0.4265912644962985</v>
      </c>
      <c r="H2524" t="n">
        <v>0.0119114095673249</v>
      </c>
      <c r="I2524" t="n">
        <v>0.5252052442951192</v>
      </c>
      <c r="J2524" t="n">
        <v>0.1294436429972597</v>
      </c>
      <c r="K2524" t="n">
        <v>0.2814966324074551</v>
      </c>
      <c r="L2524" t="b">
        <v>0</v>
      </c>
      <c r="M2524" t="b">
        <v>0</v>
      </c>
      <c r="N2524" t="inlineStr">
        <is>
          <t>ref</t>
        </is>
      </c>
      <c r="O2524" t="n">
        <v>-100</v>
      </c>
      <c r="P2524" t="n">
        <v>0.002834</v>
      </c>
      <c r="Q2524" t="n">
        <v>80</v>
      </c>
      <c r="R2524" t="n">
        <v>0.02637</v>
      </c>
      <c r="S2524">
        <f>IMAGE("https://mitra.stanford.edu/kundaje/oak/projects/neuro-variants/variant_position/credible/roussos_2024/variant_figures/roussos_2024.childhood.Astrocyte/rs62244405_count_position.png",4,220,900)</f>
        <v/>
      </c>
      <c r="T2524">
        <f>IMAGE("https://mitra.stanford.edu/kundaje/oak/projects/neuro-variants/variant_position/credible/roussos_2024/variant_figures/roussos_2024.childhood.Astrocyte/rs62244405_profile_position.png",4,220,900)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-0.213678088</v>
      </c>
      <c r="G2525" t="n">
        <v>0.0155298032783478</v>
      </c>
      <c r="H2525" t="n">
        <v>0.0282777123719752</v>
      </c>
      <c r="I2525" t="n">
        <v>0.0392554924292799</v>
      </c>
      <c r="J2525" t="n">
        <v>0.1729042156121911</v>
      </c>
      <c r="K2525" t="n">
        <v>0.2287565804975411</v>
      </c>
      <c r="L2525" t="b">
        <v>1</v>
      </c>
      <c r="M2525" t="b">
        <v>0</v>
      </c>
      <c r="N2525" t="inlineStr">
        <is>
          <t>ref</t>
        </is>
      </c>
      <c r="O2525" t="n">
        <v>0</v>
      </c>
      <c r="P2525" t="n">
        <v>0</v>
      </c>
      <c r="Q2525" t="n">
        <v>-85</v>
      </c>
      <c r="R2525" t="n">
        <v>0.0362</v>
      </c>
      <c r="S2525">
        <f>IMAGE("https://mitra.stanford.edu/kundaje/oak/projects/neuro-variants/variant_position/credible/roussos_2024/variant_figures/roussos_2024.childhood.Astrocyte/rs17028710_count_position.png",4,220,900)</f>
        <v/>
      </c>
      <c r="T2525">
        <f>IMAGE("https://mitra.stanford.edu/kundaje/oak/projects/neuro-variants/variant_position/credible/roussos_2024/variant_figures/roussos_2024.childhood.Astrocyte/rs17028710_profile_position.png",4,220,900)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0.054804977</v>
      </c>
      <c r="G2526" t="n">
        <v>0.187548758801229</v>
      </c>
      <c r="H2526" t="n">
        <v>0.0103770582380435</v>
      </c>
      <c r="I2526" t="n">
        <v>0.6821015556752028</v>
      </c>
      <c r="J2526" t="n">
        <v>0.0227778922702326</v>
      </c>
      <c r="K2526" t="n">
        <v>0.5790174125058403</v>
      </c>
      <c r="L2526" t="b">
        <v>0</v>
      </c>
      <c r="M2526" t="b">
        <v>0</v>
      </c>
      <c r="N2526" t="inlineStr">
        <is>
          <t>alt</t>
        </is>
      </c>
      <c r="O2526" t="n">
        <v>-65</v>
      </c>
      <c r="P2526" t="n">
        <v>0.002495</v>
      </c>
      <c r="Q2526" t="n">
        <v>60</v>
      </c>
      <c r="R2526" t="n">
        <v>0.238</v>
      </c>
      <c r="S2526">
        <f>IMAGE("https://mitra.stanford.edu/kundaje/oak/projects/neuro-variants/variant_position/credible/roussos_2024/variant_figures/roussos_2024.childhood.Astrocyte/rs17028714_count_position.png",4,220,900)</f>
        <v/>
      </c>
      <c r="T2526">
        <f>IMAGE("https://mitra.stanford.edu/kundaje/oak/projects/neuro-variants/variant_position/credible/roussos_2024/variant_figures/roussos_2024.childhood.Astrocyte/rs17028714_profile_position.png",4,220,900)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0.008732512959999999</v>
      </c>
      <c r="G2527" t="n">
        <v>0.7160398341286195</v>
      </c>
      <c r="H2527" t="n">
        <v>0.0092983888926118</v>
      </c>
      <c r="I2527" t="n">
        <v>0.7941359913450777</v>
      </c>
      <c r="J2527" t="n">
        <v>0.0260088693488432</v>
      </c>
      <c r="K2527" t="n">
        <v>0.5648672285967252</v>
      </c>
      <c r="L2527" t="b">
        <v>0</v>
      </c>
      <c r="M2527" t="b">
        <v>0</v>
      </c>
      <c r="N2527" t="inlineStr">
        <is>
          <t>alt</t>
        </is>
      </c>
      <c r="O2527" t="n">
        <v>55</v>
      </c>
      <c r="P2527" t="n">
        <v>0.004093</v>
      </c>
      <c r="Q2527" t="n">
        <v>-100</v>
      </c>
      <c r="R2527" t="n">
        <v>0.1584</v>
      </c>
      <c r="S2527">
        <f>IMAGE("https://mitra.stanford.edu/kundaje/oak/projects/neuro-variants/variant_position/credible/roussos_2024/variant_figures/roussos_2024.childhood.Astrocyte/rs17028716_count_position.png",4,220,900)</f>
        <v/>
      </c>
      <c r="T2527">
        <f>IMAGE("https://mitra.stanford.edu/kundaje/oak/projects/neuro-variants/variant_position/credible/roussos_2024/variant_figures/roussos_2024.childhood.Astrocyte/rs17028716_profile_position.png",4,220,900)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0.0203179496</v>
      </c>
      <c r="G2528" t="n">
        <v>0.5366728044639716</v>
      </c>
      <c r="H2528" t="n">
        <v>0.0100032527308594</v>
      </c>
      <c r="I2528" t="n">
        <v>0.7183558068426692</v>
      </c>
      <c r="J2528" t="n">
        <v>0.0963911978200636</v>
      </c>
      <c r="K2528" t="n">
        <v>0.3425411041625293</v>
      </c>
      <c r="L2528" t="b">
        <v>0</v>
      </c>
      <c r="M2528" t="b">
        <v>0</v>
      </c>
      <c r="N2528" t="inlineStr">
        <is>
          <t>alt</t>
        </is>
      </c>
      <c r="O2528" t="n">
        <v>95</v>
      </c>
      <c r="P2528" t="n">
        <v>0.009889999999999999</v>
      </c>
      <c r="Q2528" t="n">
        <v>95</v>
      </c>
      <c r="R2528" t="n">
        <v>0.1414</v>
      </c>
      <c r="S2528">
        <f>IMAGE("https://mitra.stanford.edu/kundaje/oak/projects/neuro-variants/variant_position/credible/roussos_2024/variant_figures/roussos_2024.childhood.Astrocyte/rs1376606_count_position.png",4,220,900)</f>
        <v/>
      </c>
      <c r="T2528">
        <f>IMAGE("https://mitra.stanford.edu/kundaje/oak/projects/neuro-variants/variant_position/credible/roussos_2024/variant_figures/roussos_2024.childhood.Astrocyte/rs1376606_profile_position.png",4,220,900)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0.0672493248</v>
      </c>
      <c r="G2529" t="n">
        <v>0.1452360971715177</v>
      </c>
      <c r="H2529" t="n">
        <v>0.0149190588635844</v>
      </c>
      <c r="I2529" t="n">
        <v>0.3074124642870326</v>
      </c>
      <c r="J2529" t="n">
        <v>0.0150191202399761</v>
      </c>
      <c r="K2529" t="n">
        <v>0.674857296450328</v>
      </c>
      <c r="L2529" t="b">
        <v>0</v>
      </c>
      <c r="M2529" t="b">
        <v>0</v>
      </c>
      <c r="N2529" t="inlineStr">
        <is>
          <t>alt</t>
        </is>
      </c>
      <c r="O2529" t="n">
        <v>-95</v>
      </c>
      <c r="P2529" t="n">
        <v>0.00307</v>
      </c>
      <c r="Q2529" t="n">
        <v>-95</v>
      </c>
      <c r="R2529" t="n">
        <v>0.161</v>
      </c>
      <c r="S2529">
        <f>IMAGE("https://mitra.stanford.edu/kundaje/oak/projects/neuro-variants/variant_position/credible/roussos_2024/variant_figures/roussos_2024.childhood.Astrocyte/rs1553656_count_position.png",4,220,900)</f>
        <v/>
      </c>
      <c r="T2529">
        <f>IMAGE("https://mitra.stanford.edu/kundaje/oak/projects/neuro-variants/variant_position/credible/roussos_2024/variant_figures/roussos_2024.childhood.Astrocyte/rs1553656_profile_position.png",4,220,900)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0.27675771</v>
      </c>
      <c r="G2530" t="n">
        <v>0.0073281277156207</v>
      </c>
      <c r="H2530" t="n">
        <v>0.0335163684117172</v>
      </c>
      <c r="I2530" t="n">
        <v>0.0217475589783301</v>
      </c>
      <c r="J2530" t="n">
        <v>0.08789814751207881</v>
      </c>
      <c r="K2530" t="n">
        <v>0.3655355209006633</v>
      </c>
      <c r="L2530" t="b">
        <v>1</v>
      </c>
      <c r="M2530" t="b">
        <v>1</v>
      </c>
      <c r="N2530" t="inlineStr">
        <is>
          <t>alt</t>
        </is>
      </c>
      <c r="O2530" t="n">
        <v>25</v>
      </c>
      <c r="P2530" t="n">
        <v>0.00267</v>
      </c>
      <c r="Q2530" t="n">
        <v>35</v>
      </c>
      <c r="R2530" t="n">
        <v>0.127</v>
      </c>
      <c r="S2530">
        <f>IMAGE("https://mitra.stanford.edu/kundaje/oak/projects/neuro-variants/variant_position/credible/roussos_2024/variant_figures/roussos_2024.childhood.Astrocyte/rs4624519_count_position.png",4,220,900)</f>
        <v/>
      </c>
      <c r="T2530">
        <f>IMAGE("https://mitra.stanford.edu/kundaje/oak/projects/neuro-variants/variant_position/credible/roussos_2024/variant_figures/roussos_2024.childhood.Astrocyte/rs4624519_profile_position.png",4,220,900)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0.0419586302</v>
      </c>
      <c r="G2531" t="n">
        <v>0.2762845012257767</v>
      </c>
      <c r="H2531" t="n">
        <v>0.0584019721832214</v>
      </c>
      <c r="I2531" t="n">
        <v>0.0022631255868216</v>
      </c>
      <c r="J2531" t="n">
        <v>0.0199682474258279</v>
      </c>
      <c r="K2531" t="n">
        <v>0.6111392767219747</v>
      </c>
      <c r="L2531" t="b">
        <v>1</v>
      </c>
      <c r="M2531" t="b">
        <v>0</v>
      </c>
      <c r="N2531" t="inlineStr">
        <is>
          <t>alt</t>
        </is>
      </c>
      <c r="O2531" t="n">
        <v>50</v>
      </c>
      <c r="P2531" t="n">
        <v>0.00464</v>
      </c>
      <c r="Q2531" t="n">
        <v>50</v>
      </c>
      <c r="R2531" t="n">
        <v>0.0835</v>
      </c>
      <c r="S2531">
        <f>IMAGE("https://mitra.stanford.edu/kundaje/oak/projects/neuro-variants/variant_position/credible/roussos_2024/variant_figures/roussos_2024.childhood.Astrocyte/rs142802540_count_position.png",4,220,900)</f>
        <v/>
      </c>
      <c r="T2531">
        <f>IMAGE("https://mitra.stanford.edu/kundaje/oak/projects/neuro-variants/variant_position/credible/roussos_2024/variant_figures/roussos_2024.childhood.Astrocyte/rs142802540_profile_position.png",4,220,900)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-0.014430716</v>
      </c>
      <c r="G2532" t="n">
        <v>0.5009532947589547</v>
      </c>
      <c r="H2532" t="n">
        <v>0.0095849450095604</v>
      </c>
      <c r="I2532" t="n">
        <v>0.7213003044801022</v>
      </c>
      <c r="J2532" t="n">
        <v>0.3762451054475509</v>
      </c>
      <c r="K2532" t="n">
        <v>0.09565350619930869</v>
      </c>
      <c r="L2532" t="b">
        <v>0</v>
      </c>
      <c r="M2532" t="b">
        <v>0</v>
      </c>
      <c r="N2532" t="inlineStr">
        <is>
          <t>ref</t>
        </is>
      </c>
      <c r="O2532" t="n">
        <v>100</v>
      </c>
      <c r="P2532" t="n">
        <v>0.00124</v>
      </c>
      <c r="Q2532" t="n">
        <v>100</v>
      </c>
      <c r="R2532" t="n">
        <v>0.1559</v>
      </c>
      <c r="S2532">
        <f>IMAGE("https://mitra.stanford.edu/kundaje/oak/projects/neuro-variants/variant_position/credible/roussos_2024/variant_figures/roussos_2024.childhood.Astrocyte/rs4789_count_position.png",4,220,900)</f>
        <v/>
      </c>
      <c r="T2532">
        <f>IMAGE("https://mitra.stanford.edu/kundaje/oak/projects/neuro-variants/variant_position/credible/roussos_2024/variant_figures/roussos_2024.childhood.Astrocyte/rs4789_profile_position.png",4,220,900)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0.00255264992</v>
      </c>
      <c r="G2533" t="n">
        <v>0.7130282375138812</v>
      </c>
      <c r="H2533" t="n">
        <v>0.0117317932188774</v>
      </c>
      <c r="I2533" t="n">
        <v>0.5417259881169113</v>
      </c>
      <c r="J2533" t="n">
        <v>0.014899284803798</v>
      </c>
      <c r="K2533" t="n">
        <v>0.6314364444380464</v>
      </c>
      <c r="L2533" t="b">
        <v>0</v>
      </c>
      <c r="M2533" t="b">
        <v>0</v>
      </c>
      <c r="N2533" t="inlineStr">
        <is>
          <t>alt</t>
        </is>
      </c>
      <c r="O2533" t="n">
        <v>-10</v>
      </c>
      <c r="P2533" t="n">
        <v>0.000977</v>
      </c>
      <c r="Q2533" t="n">
        <v>50</v>
      </c>
      <c r="R2533" t="n">
        <v>0.1034</v>
      </c>
      <c r="S2533">
        <f>IMAGE("https://mitra.stanford.edu/kundaje/oak/projects/neuro-variants/variant_position/credible/roussos_2024/variant_figures/roussos_2024.childhood.Astrocyte/rs12637912_count_position.png",4,220,900)</f>
        <v/>
      </c>
      <c r="T2533">
        <f>IMAGE("https://mitra.stanford.edu/kundaje/oak/projects/neuro-variants/variant_position/credible/roussos_2024/variant_figures/roussos_2024.childhood.Astrocyte/rs12637912_profile_position.png",4,220,900)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0.0350786763999999</v>
      </c>
      <c r="G2534" t="n">
        <v>0.1897608699960521</v>
      </c>
      <c r="H2534" t="n">
        <v>0.0169220314481181</v>
      </c>
      <c r="I2534" t="n">
        <v>0.2115990719049831</v>
      </c>
      <c r="J2534" t="n">
        <v>0.0455191469548823</v>
      </c>
      <c r="K2534" t="n">
        <v>0.4557785809487698</v>
      </c>
      <c r="L2534" t="b">
        <v>0</v>
      </c>
      <c r="M2534" t="b">
        <v>0</v>
      </c>
      <c r="N2534" t="inlineStr">
        <is>
          <t>alt</t>
        </is>
      </c>
      <c r="O2534" t="n">
        <v>0</v>
      </c>
      <c r="P2534" t="n">
        <v>0</v>
      </c>
      <c r="Q2534" t="n">
        <v>85</v>
      </c>
      <c r="R2534" t="n">
        <v>0.1167</v>
      </c>
      <c r="S2534">
        <f>IMAGE("https://mitra.stanford.edu/kundaje/oak/projects/neuro-variants/variant_position/credible/roussos_2024/variant_figures/roussos_2024.childhood.Astrocyte/rs3732385_count_position.png",4,220,900)</f>
        <v/>
      </c>
      <c r="T2534">
        <f>IMAGE("https://mitra.stanford.edu/kundaje/oak/projects/neuro-variants/variant_position/credible/roussos_2024/variant_figures/roussos_2024.childhood.Astrocyte/rs3732385_profile_position.png",4,220,900)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0.16854076</v>
      </c>
      <c r="G2535" t="n">
        <v>0.0261940519248635</v>
      </c>
      <c r="H2535" t="n">
        <v>0.0236227493473573</v>
      </c>
      <c r="I2535" t="n">
        <v>0.07157672481345199</v>
      </c>
      <c r="J2535" t="n">
        <v>0.0467007090899375</v>
      </c>
      <c r="K2535" t="n">
        <v>0.4777948400033702</v>
      </c>
      <c r="L2535" t="b">
        <v>0</v>
      </c>
      <c r="M2535" t="b">
        <v>0</v>
      </c>
      <c r="N2535" t="inlineStr">
        <is>
          <t>alt</t>
        </is>
      </c>
      <c r="O2535" t="n">
        <v>80</v>
      </c>
      <c r="P2535" t="n">
        <v>0.10004</v>
      </c>
      <c r="Q2535" t="n">
        <v>75</v>
      </c>
      <c r="R2535" t="n">
        <v>0.461</v>
      </c>
      <c r="S2535">
        <f>IMAGE("https://mitra.stanford.edu/kundaje/oak/projects/neuro-variants/variant_position/credible/roussos_2024/variant_figures/roussos_2024.childhood.Astrocyte/rs4678909_count_position.png",4,220,900)</f>
        <v/>
      </c>
      <c r="T2535">
        <f>IMAGE("https://mitra.stanford.edu/kundaje/oak/projects/neuro-variants/variant_position/credible/roussos_2024/variant_figures/roussos_2024.childhood.Astrocyte/rs4678909_profile_position.png",4,220,900)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-0.008634542360000001</v>
      </c>
      <c r="G2536" t="n">
        <v>0.6665658226077498</v>
      </c>
      <c r="H2536" t="n">
        <v>0.0139230189553992</v>
      </c>
      <c r="I2536" t="n">
        <v>0.3609206834210037</v>
      </c>
      <c r="J2536" t="n">
        <v>0.0253822139787654</v>
      </c>
      <c r="K2536" t="n">
        <v>0.552552138774952</v>
      </c>
      <c r="L2536" t="b">
        <v>0</v>
      </c>
      <c r="M2536" t="b">
        <v>0</v>
      </c>
      <c r="N2536" t="inlineStr">
        <is>
          <t>ref</t>
        </is>
      </c>
      <c r="O2536" t="n">
        <v>-100</v>
      </c>
      <c r="P2536" t="n">
        <v>0.01054</v>
      </c>
      <c r="Q2536" t="n">
        <v>40</v>
      </c>
      <c r="R2536" t="n">
        <v>0.01563</v>
      </c>
      <c r="S2536">
        <f>IMAGE("https://mitra.stanford.edu/kundaje/oak/projects/neuro-variants/variant_position/credible/roussos_2024/variant_figures/roussos_2024.childhood.Astrocyte/rs9863798_count_position.png",4,220,900)</f>
        <v/>
      </c>
      <c r="T2536">
        <f>IMAGE("https://mitra.stanford.edu/kundaje/oak/projects/neuro-variants/variant_position/credible/roussos_2024/variant_figures/roussos_2024.childhood.Astrocyte/rs9863798_profile_position.png",4,220,900)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-0.0775851583999999</v>
      </c>
      <c r="G2537" t="n">
        <v>0.1167217543396747</v>
      </c>
      <c r="H2537" t="n">
        <v>0.0134572055408315</v>
      </c>
      <c r="I2537" t="n">
        <v>0.3949581302889448</v>
      </c>
      <c r="J2537" t="n">
        <v>0.0241289032386098</v>
      </c>
      <c r="K2537" t="n">
        <v>0.5616632143233125</v>
      </c>
      <c r="L2537" t="b">
        <v>0</v>
      </c>
      <c r="M2537" t="b">
        <v>0</v>
      </c>
      <c r="N2537" t="inlineStr">
        <is>
          <t>ref</t>
        </is>
      </c>
      <c r="O2537" t="n">
        <v>100</v>
      </c>
      <c r="P2537" t="n">
        <v>0.0365</v>
      </c>
      <c r="Q2537" t="n">
        <v>5</v>
      </c>
      <c r="R2537" t="n">
        <v>0.007812</v>
      </c>
      <c r="S2537">
        <f>IMAGE("https://mitra.stanford.edu/kundaje/oak/projects/neuro-variants/variant_position/credible/roussos_2024/variant_figures/roussos_2024.childhood.Astrocyte/rs35979223_count_position.png",4,220,900)</f>
        <v/>
      </c>
      <c r="T2537">
        <f>IMAGE("https://mitra.stanford.edu/kundaje/oak/projects/neuro-variants/variant_position/credible/roussos_2024/variant_figures/roussos_2024.childhood.Astrocyte/rs35979223_profile_position.png",4,220,900)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0.008712646846</v>
      </c>
      <c r="G2538" t="n">
        <v>0.7043568258316395</v>
      </c>
      <c r="H2538" t="n">
        <v>0.0093670416624744</v>
      </c>
      <c r="I2538" t="n">
        <v>0.7874964633035233</v>
      </c>
      <c r="J2538" t="n">
        <v>0.0122743544533748</v>
      </c>
      <c r="K2538" t="n">
        <v>0.6643421841320477</v>
      </c>
      <c r="L2538" t="b">
        <v>0</v>
      </c>
      <c r="M2538" t="b">
        <v>0</v>
      </c>
      <c r="N2538" t="inlineStr">
        <is>
          <t>alt</t>
        </is>
      </c>
      <c r="O2538" t="n">
        <v>100</v>
      </c>
      <c r="P2538" t="n">
        <v>0.015434</v>
      </c>
      <c r="Q2538" t="n">
        <v>-75</v>
      </c>
      <c r="R2538" t="n">
        <v>0.1285</v>
      </c>
      <c r="S2538">
        <f>IMAGE("https://mitra.stanford.edu/kundaje/oak/projects/neuro-variants/variant_position/credible/roussos_2024/variant_figures/roussos_2024.childhood.Astrocyte/rs4678910_count_position.png",4,220,900)</f>
        <v/>
      </c>
      <c r="T2538">
        <f>IMAGE("https://mitra.stanford.edu/kundaje/oak/projects/neuro-variants/variant_position/credible/roussos_2024/variant_figures/roussos_2024.childhood.Astrocyte/rs4678910_profile_position.png",4,220,900)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0.0675874578</v>
      </c>
      <c r="G2539" t="n">
        <v>0.1362835436454176</v>
      </c>
      <c r="H2539" t="n">
        <v>0.0239228536003993</v>
      </c>
      <c r="I2539" t="n">
        <v>0.07015521298065371</v>
      </c>
      <c r="J2539" t="n">
        <v>0.0176020700235853</v>
      </c>
      <c r="K2539" t="n">
        <v>0.6132776269196023</v>
      </c>
      <c r="L2539" t="b">
        <v>0</v>
      </c>
      <c r="M2539" t="b">
        <v>0</v>
      </c>
      <c r="N2539" t="inlineStr">
        <is>
          <t>alt</t>
        </is>
      </c>
      <c r="O2539" t="n">
        <v>45</v>
      </c>
      <c r="P2539" t="n">
        <v>0.003372</v>
      </c>
      <c r="Q2539" t="n">
        <v>45</v>
      </c>
      <c r="R2539" t="n">
        <v>0.0495</v>
      </c>
      <c r="S2539">
        <f>IMAGE("https://mitra.stanford.edu/kundaje/oak/projects/neuro-variants/variant_position/credible/roussos_2024/variant_figures/roussos_2024.childhood.Astrocyte/rs4678911_count_position.png",4,220,900)</f>
        <v/>
      </c>
      <c r="T2539">
        <f>IMAGE("https://mitra.stanford.edu/kundaje/oak/projects/neuro-variants/variant_position/credible/roussos_2024/variant_figures/roussos_2024.childhood.Astrocyte/rs4678911_profile_position.png",4,220,900)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-0.0190067006</v>
      </c>
      <c r="G2540" t="n">
        <v>0.5453512234171751</v>
      </c>
      <c r="H2540" t="n">
        <v>0.0326759553493265</v>
      </c>
      <c r="I2540" t="n">
        <v>0.021124691970187</v>
      </c>
      <c r="J2540" t="n">
        <v>0.0160388663720393</v>
      </c>
      <c r="K2540" t="n">
        <v>0.6302164666689823</v>
      </c>
      <c r="L2540" t="b">
        <v>0</v>
      </c>
      <c r="M2540" t="b">
        <v>0</v>
      </c>
      <c r="N2540" t="inlineStr">
        <is>
          <t>ref</t>
        </is>
      </c>
      <c r="O2540" t="n">
        <v>-65</v>
      </c>
      <c r="P2540" t="n">
        <v>0.008460000000000001</v>
      </c>
      <c r="Q2540" t="n">
        <v>85</v>
      </c>
      <c r="R2540" t="n">
        <v>0.1027</v>
      </c>
      <c r="S2540">
        <f>IMAGE("https://mitra.stanford.edu/kundaje/oak/projects/neuro-variants/variant_position/credible/roussos_2024/variant_figures/roussos_2024.childhood.Astrocyte/rs9819304_count_position.png",4,220,900)</f>
        <v/>
      </c>
      <c r="T2540">
        <f>IMAGE("https://mitra.stanford.edu/kundaje/oak/projects/neuro-variants/variant_position/credible/roussos_2024/variant_figures/roussos_2024.childhood.Astrocyte/rs9819304_profile_position.png",4,220,900)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-0.0664218734</v>
      </c>
      <c r="G2541" t="n">
        <v>0.1447618629971812</v>
      </c>
      <c r="H2541" t="n">
        <v>0.0130554320153743</v>
      </c>
      <c r="I2541" t="n">
        <v>0.4328881471164961</v>
      </c>
      <c r="J2541" t="n">
        <v>0.008202239472418601</v>
      </c>
      <c r="K2541" t="n">
        <v>0.7191524916299608</v>
      </c>
      <c r="L2541" t="b">
        <v>0</v>
      </c>
      <c r="M2541" t="b">
        <v>0</v>
      </c>
      <c r="N2541" t="inlineStr">
        <is>
          <t>ref</t>
        </is>
      </c>
      <c r="O2541" t="n">
        <v>100</v>
      </c>
      <c r="P2541" t="n">
        <v>0.01817</v>
      </c>
      <c r="Q2541" t="n">
        <v>-50</v>
      </c>
      <c r="R2541" t="n">
        <v>0.08110000000000001</v>
      </c>
      <c r="S2541">
        <f>IMAGE("https://mitra.stanford.edu/kundaje/oak/projects/neuro-variants/variant_position/credible/roussos_2024/variant_figures/roussos_2024.childhood.Astrocyte/rs9883001_count_position.png",4,220,900)</f>
        <v/>
      </c>
      <c r="T2541">
        <f>IMAGE("https://mitra.stanford.edu/kundaje/oak/projects/neuro-variants/variant_position/credible/roussos_2024/variant_figures/roussos_2024.childhood.Astrocyte/rs9883001_profile_position.png",4,220,900)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0.0378433324</v>
      </c>
      <c r="G2542" t="n">
        <v>0.2230584512546662</v>
      </c>
      <c r="H2542" t="n">
        <v>0.0234988906283503</v>
      </c>
      <c r="I2542" t="n">
        <v>0.0751223803119242</v>
      </c>
      <c r="J2542" t="n">
        <v>0.0226656896643843</v>
      </c>
      <c r="K2542" t="n">
        <v>0.5714823506220814</v>
      </c>
      <c r="L2542" t="b">
        <v>0</v>
      </c>
      <c r="M2542" t="b">
        <v>0</v>
      </c>
      <c r="N2542" t="inlineStr">
        <is>
          <t>alt</t>
        </is>
      </c>
      <c r="O2542" t="n">
        <v>45</v>
      </c>
      <c r="P2542" t="n">
        <v>0.001671</v>
      </c>
      <c r="Q2542" t="n">
        <v>55</v>
      </c>
      <c r="R2542" t="n">
        <v>0.0825</v>
      </c>
      <c r="S2542">
        <f>IMAGE("https://mitra.stanford.edu/kundaje/oak/projects/neuro-variants/variant_position/credible/roussos_2024/variant_figures/roussos_2024.childhood.Astrocyte/rs11706780_count_position.png",4,220,900)</f>
        <v/>
      </c>
      <c r="T2542">
        <f>IMAGE("https://mitra.stanford.edu/kundaje/oak/projects/neuro-variants/variant_position/credible/roussos_2024/variant_figures/roussos_2024.childhood.Astrocyte/rs11706780_profile_position.png",4,220,900)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0.09472096520000001</v>
      </c>
      <c r="G2543" t="n">
        <v>0.0997081428206156</v>
      </c>
      <c r="H2543" t="n">
        <v>0.0170724648462201</v>
      </c>
      <c r="I2543" t="n">
        <v>0.2066986681933907</v>
      </c>
      <c r="J2543" t="n">
        <v>0.0068924457878225</v>
      </c>
      <c r="K2543" t="n">
        <v>0.7522055530555621</v>
      </c>
      <c r="L2543" t="b">
        <v>0</v>
      </c>
      <c r="M2543" t="b">
        <v>0</v>
      </c>
      <c r="N2543" t="inlineStr">
        <is>
          <t>alt</t>
        </is>
      </c>
      <c r="O2543" t="n">
        <v>-100</v>
      </c>
      <c r="P2543" t="n">
        <v>0.02457</v>
      </c>
      <c r="Q2543" t="n">
        <v>-30</v>
      </c>
      <c r="R2543" t="n">
        <v>0.03107</v>
      </c>
      <c r="S2543">
        <f>IMAGE("https://mitra.stanford.edu/kundaje/oak/projects/neuro-variants/variant_position/credible/roussos_2024/variant_figures/roussos_2024.childhood.Astrocyte/rs11129739_count_position.png",4,220,900)</f>
        <v/>
      </c>
      <c r="T2543">
        <f>IMAGE("https://mitra.stanford.edu/kundaje/oak/projects/neuro-variants/variant_position/credible/roussos_2024/variant_figures/roussos_2024.childhood.Astrocyte/rs11129739_profile_position.png",4,220,900)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0.0112438655</v>
      </c>
      <c r="G2544" t="n">
        <v>0.6650155993696317</v>
      </c>
      <c r="H2544" t="n">
        <v>0.0416630672985832</v>
      </c>
      <c r="I2544" t="n">
        <v>0.0081648931890183</v>
      </c>
      <c r="J2544" t="n">
        <v>0.0010037171883706</v>
      </c>
      <c r="K2544" t="n">
        <v>0.9055324056462378</v>
      </c>
      <c r="L2544" t="b">
        <v>0</v>
      </c>
      <c r="M2544" t="b">
        <v>0</v>
      </c>
      <c r="N2544" t="inlineStr">
        <is>
          <t>alt</t>
        </is>
      </c>
      <c r="O2544" t="n">
        <v>-75</v>
      </c>
      <c r="P2544" t="n">
        <v>0.12067</v>
      </c>
      <c r="Q2544" t="n">
        <v>-100</v>
      </c>
      <c r="R2544" t="n">
        <v>0.2344</v>
      </c>
      <c r="S2544">
        <f>IMAGE("https://mitra.stanford.edu/kundaje/oak/projects/neuro-variants/variant_position/credible/roussos_2024/variant_figures/roussos_2024.childhood.Astrocyte/rs6807351_count_position.png",4,220,900)</f>
        <v/>
      </c>
      <c r="T2544">
        <f>IMAGE("https://mitra.stanford.edu/kundaje/oak/projects/neuro-variants/variant_position/credible/roussos_2024/variant_figures/roussos_2024.childhood.Astrocyte/rs6807351_profile_position.png",4,220,900)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-0.00151367673</v>
      </c>
      <c r="G2545" t="n">
        <v>0.871547694327572</v>
      </c>
      <c r="H2545" t="n">
        <v>0.0221939797890854</v>
      </c>
      <c r="I2545" t="n">
        <v>0.0901724235873881</v>
      </c>
      <c r="J2545" t="n">
        <v>0.0123636585682336</v>
      </c>
      <c r="K2545" t="n">
        <v>0.6664513079081201</v>
      </c>
      <c r="L2545" t="b">
        <v>0</v>
      </c>
      <c r="M2545" t="b">
        <v>0</v>
      </c>
      <c r="N2545" t="inlineStr">
        <is>
          <t>ref</t>
        </is>
      </c>
      <c r="O2545" t="n">
        <v>100</v>
      </c>
      <c r="P2545" t="n">
        <v>0.0832</v>
      </c>
      <c r="Q2545" t="n">
        <v>-95</v>
      </c>
      <c r="R2545" t="n">
        <v>0.1355</v>
      </c>
      <c r="S2545">
        <f>IMAGE("https://mitra.stanford.edu/kundaje/oak/projects/neuro-variants/variant_position/credible/roussos_2024/variant_figures/roussos_2024.childhood.Astrocyte/rs6778309_count_position.png",4,220,900)</f>
        <v/>
      </c>
      <c r="T2545">
        <f>IMAGE("https://mitra.stanford.edu/kundaje/oak/projects/neuro-variants/variant_position/credible/roussos_2024/variant_figures/roussos_2024.childhood.Astrocyte/rs6778309_profile_position.png",4,220,900)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-0.0390340853999999</v>
      </c>
      <c r="G2546" t="n">
        <v>0.298987205166043</v>
      </c>
      <c r="H2546" t="n">
        <v>0.0144115405189255</v>
      </c>
      <c r="I2546" t="n">
        <v>0.3319117989931185</v>
      </c>
      <c r="J2546" t="n">
        <v>0.009781472067657299</v>
      </c>
      <c r="K2546" t="n">
        <v>0.7093094862147697</v>
      </c>
      <c r="L2546" t="b">
        <v>0</v>
      </c>
      <c r="M2546" t="b">
        <v>0</v>
      </c>
      <c r="N2546" t="inlineStr">
        <is>
          <t>ref</t>
        </is>
      </c>
      <c r="O2546" t="n">
        <v>80</v>
      </c>
      <c r="P2546" t="n">
        <v>0.003777</v>
      </c>
      <c r="Q2546" t="n">
        <v>-95</v>
      </c>
      <c r="R2546" t="n">
        <v>0.0956</v>
      </c>
      <c r="S2546">
        <f>IMAGE("https://mitra.stanford.edu/kundaje/oak/projects/neuro-variants/variant_position/credible/roussos_2024/variant_figures/roussos_2024.childhood.Astrocyte/rs113888150_count_position.png",4,220,900)</f>
        <v/>
      </c>
      <c r="T2546">
        <f>IMAGE("https://mitra.stanford.edu/kundaje/oak/projects/neuro-variants/variant_position/credible/roussos_2024/variant_figures/roussos_2024.childhood.Astrocyte/rs113888150_profile_position.png",4,220,900)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-0.006939103</v>
      </c>
      <c r="G2547" t="n">
        <v>0.7427450588081723</v>
      </c>
      <c r="H2547" t="n">
        <v>0.0083609073339616</v>
      </c>
      <c r="I2547" t="n">
        <v>0.8755856753093407</v>
      </c>
      <c r="J2547" t="n">
        <v>0.0027417126544693</v>
      </c>
      <c r="K2547" t="n">
        <v>0.8385077120292709</v>
      </c>
      <c r="L2547" t="b">
        <v>0</v>
      </c>
      <c r="M2547" t="b">
        <v>0</v>
      </c>
      <c r="N2547" t="inlineStr">
        <is>
          <t>ref</t>
        </is>
      </c>
      <c r="O2547" t="n">
        <v>100</v>
      </c>
      <c r="P2547" t="n">
        <v>0.01092</v>
      </c>
      <c r="Q2547" t="n">
        <v>50</v>
      </c>
      <c r="R2547" t="n">
        <v>0.10913</v>
      </c>
      <c r="S2547">
        <f>IMAGE("https://mitra.stanford.edu/kundaje/oak/projects/neuro-variants/variant_position/credible/roussos_2024/variant_figures/roussos_2024.childhood.Astrocyte/rs72862271_count_position.png",4,220,900)</f>
        <v/>
      </c>
      <c r="T2547">
        <f>IMAGE("https://mitra.stanford.edu/kundaje/oak/projects/neuro-variants/variant_position/credible/roussos_2024/variant_figures/roussos_2024.childhood.Astrocyte/rs72862271_profile_position.png",4,220,900)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0.237153209</v>
      </c>
      <c r="G2548" t="n">
        <v>0.0119190376575185</v>
      </c>
      <c r="H2548" t="n">
        <v>0.0414377136253578</v>
      </c>
      <c r="I2548" t="n">
        <v>0.0097666782722363</v>
      </c>
      <c r="J2548" t="n">
        <v>0.3462885362521277</v>
      </c>
      <c r="K2548" t="n">
        <v>0.1099682274493014</v>
      </c>
      <c r="L2548" t="b">
        <v>1</v>
      </c>
      <c r="M2548" t="b">
        <v>1</v>
      </c>
      <c r="N2548" t="inlineStr">
        <is>
          <t>alt</t>
        </is>
      </c>
      <c r="O2548" t="n">
        <v>100</v>
      </c>
      <c r="P2548" t="n">
        <v>0.02162</v>
      </c>
      <c r="Q2548" t="n">
        <v>-75</v>
      </c>
      <c r="R2548" t="n">
        <v>0.0503</v>
      </c>
      <c r="S2548">
        <f>IMAGE("https://mitra.stanford.edu/kundaje/oak/projects/neuro-variants/variant_position/credible/roussos_2024/variant_figures/roussos_2024.childhood.Astrocyte/rs1812423_count_position.png",4,220,900)</f>
        <v/>
      </c>
      <c r="T2548">
        <f>IMAGE("https://mitra.stanford.edu/kundaje/oak/projects/neuro-variants/variant_position/credible/roussos_2024/variant_figures/roussos_2024.childhood.Astrocyte/rs1812423_profile_position.png",4,220,900)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-0.0679966882</v>
      </c>
      <c r="G2549" t="n">
        <v>0.1400983071596494</v>
      </c>
      <c r="H2549" t="n">
        <v>0.0123613376980502</v>
      </c>
      <c r="I2549" t="n">
        <v>0.4728873740500506</v>
      </c>
      <c r="J2549" t="n">
        <v>0.0239067878760122</v>
      </c>
      <c r="K2549" t="n">
        <v>0.5711124552805036</v>
      </c>
      <c r="L2549" t="b">
        <v>0</v>
      </c>
      <c r="M2549" t="b">
        <v>0</v>
      </c>
      <c r="N2549" t="inlineStr">
        <is>
          <t>ref</t>
        </is>
      </c>
      <c r="O2549" t="n">
        <v>0</v>
      </c>
      <c r="P2549" t="n">
        <v>0</v>
      </c>
      <c r="Q2549" t="n">
        <v>70</v>
      </c>
      <c r="R2549" t="n">
        <v>0.01953</v>
      </c>
      <c r="S2549">
        <f>IMAGE("https://mitra.stanford.edu/kundaje/oak/projects/neuro-variants/variant_position/credible/roussos_2024/variant_figures/roussos_2024.childhood.Astrocyte/rs9878581_count_position.png",4,220,900)</f>
        <v/>
      </c>
      <c r="T2549">
        <f>IMAGE("https://mitra.stanford.edu/kundaje/oak/projects/neuro-variants/variant_position/credible/roussos_2024/variant_figures/roussos_2024.childhood.Astrocyte/rs9878581_profile_position.png",4,220,900)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-0.0022870979852</v>
      </c>
      <c r="G2550" t="n">
        <v>0.711984794829245</v>
      </c>
      <c r="H2550" t="n">
        <v>0.0092941283768622</v>
      </c>
      <c r="I2550" t="n">
        <v>0.7879506008889633</v>
      </c>
      <c r="J2550" t="n">
        <v>0.0023730469495393</v>
      </c>
      <c r="K2550" t="n">
        <v>0.8546750747357919</v>
      </c>
      <c r="L2550" t="b">
        <v>0</v>
      </c>
      <c r="M2550" t="b">
        <v>0</v>
      </c>
      <c r="N2550" t="inlineStr">
        <is>
          <t>ref</t>
        </is>
      </c>
      <c r="O2550" t="n">
        <v>70</v>
      </c>
      <c r="P2550" t="n">
        <v>0.01198</v>
      </c>
      <c r="Q2550" t="n">
        <v>-90</v>
      </c>
      <c r="R2550" t="n">
        <v>0.1035</v>
      </c>
      <c r="S2550">
        <f>IMAGE("https://mitra.stanford.edu/kundaje/oak/projects/neuro-variants/variant_position/credible/roussos_2024/variant_figures/roussos_2024.childhood.Astrocyte/rs34054543_count_position.png",4,220,900)</f>
        <v/>
      </c>
      <c r="T2550">
        <f>IMAGE("https://mitra.stanford.edu/kundaje/oak/projects/neuro-variants/variant_position/credible/roussos_2024/variant_figures/roussos_2024.childhood.Astrocyte/rs34054543_profile_position.png",4,220,900)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-0.7267434720000001</v>
      </c>
      <c r="G2551" t="n">
        <v>0.0002503720088071</v>
      </c>
      <c r="H2551" t="n">
        <v>0.08958616002333269</v>
      </c>
      <c r="I2551" t="n">
        <v>0.0005730036298071</v>
      </c>
      <c r="J2551" t="n">
        <v>0.5138856449359988</v>
      </c>
      <c r="K2551" t="n">
        <v>0.0519207205574911</v>
      </c>
      <c r="L2551" t="b">
        <v>1</v>
      </c>
      <c r="M2551" t="b">
        <v>1</v>
      </c>
      <c r="N2551" t="inlineStr">
        <is>
          <t>ref</t>
        </is>
      </c>
      <c r="O2551" t="n">
        <v>-50</v>
      </c>
      <c r="P2551" t="n">
        <v>0.005554</v>
      </c>
      <c r="Q2551" t="n">
        <v>-85</v>
      </c>
      <c r="R2551" t="n">
        <v>0.03662</v>
      </c>
      <c r="S2551">
        <f>IMAGE("https://mitra.stanford.edu/kundaje/oak/projects/neuro-variants/variant_position/credible/roussos_2024/variant_figures/roussos_2024.childhood.Astrocyte/rs7627777_count_position.png",4,220,900)</f>
        <v/>
      </c>
      <c r="T2551">
        <f>IMAGE("https://mitra.stanford.edu/kundaje/oak/projects/neuro-variants/variant_position/credible/roussos_2024/variant_figures/roussos_2024.childhood.Astrocyte/rs7627777_profile_position.png",4,220,900)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-0.03430650654</v>
      </c>
      <c r="G2552" t="n">
        <v>0.3834444555798162</v>
      </c>
      <c r="H2552" t="n">
        <v>0.0202471096168011</v>
      </c>
      <c r="I2552" t="n">
        <v>0.1245929132327528</v>
      </c>
      <c r="J2552" t="n">
        <v>0.7599680947692213</v>
      </c>
      <c r="K2552" t="n">
        <v>0.0116358844766649</v>
      </c>
      <c r="L2552" t="b">
        <v>0</v>
      </c>
      <c r="M2552" t="b">
        <v>0</v>
      </c>
      <c r="N2552" t="inlineStr">
        <is>
          <t>ref</t>
        </is>
      </c>
      <c r="O2552" t="n">
        <v>15</v>
      </c>
      <c r="P2552" t="n">
        <v>0.002197</v>
      </c>
      <c r="Q2552" t="n">
        <v>5</v>
      </c>
      <c r="R2552" t="n">
        <v>0.007324</v>
      </c>
      <c r="S2552">
        <f>IMAGE("https://mitra.stanford.edu/kundaje/oak/projects/neuro-variants/variant_position/credible/roussos_2024/variant_figures/roussos_2024.childhood.Astrocyte/rs140503691_count_position.png",4,220,900)</f>
        <v/>
      </c>
      <c r="T2552">
        <f>IMAGE("https://mitra.stanford.edu/kundaje/oak/projects/neuro-variants/variant_position/credible/roussos_2024/variant_figures/roussos_2024.childhood.Astrocyte/rs140503691_profile_position.png",4,220,900)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0.20501157</v>
      </c>
      <c r="G2553" t="n">
        <v>0.0151025673575883</v>
      </c>
      <c r="H2553" t="n">
        <v>0.0382975528716675</v>
      </c>
      <c r="I2553" t="n">
        <v>0.0119255622761256</v>
      </c>
      <c r="J2553" t="n">
        <v>0.7352926808789968</v>
      </c>
      <c r="K2553" t="n">
        <v>0.0142955030996772</v>
      </c>
      <c r="L2553" t="b">
        <v>1</v>
      </c>
      <c r="M2553" t="b">
        <v>0</v>
      </c>
      <c r="N2553" t="inlineStr">
        <is>
          <t>alt</t>
        </is>
      </c>
      <c r="O2553" t="n">
        <v>-100</v>
      </c>
      <c r="P2553" t="n">
        <v>0.02148</v>
      </c>
      <c r="Q2553" t="n">
        <v>50</v>
      </c>
      <c r="R2553" t="n">
        <v>0.03906</v>
      </c>
      <c r="S2553">
        <f>IMAGE("https://mitra.stanford.edu/kundaje/oak/projects/neuro-variants/variant_position/credible/roussos_2024/variant_figures/roussos_2024.childhood.Astrocyte/rs10212378_count_position.png",4,220,900)</f>
        <v/>
      </c>
      <c r="T2553">
        <f>IMAGE("https://mitra.stanford.edu/kundaje/oak/projects/neuro-variants/variant_position/credible/roussos_2024/variant_figures/roussos_2024.childhood.Astrocyte/rs10212378_profile_position.png",4,220,900)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0.01066609686</v>
      </c>
      <c r="G2554" t="n">
        <v>0.6958515089724854</v>
      </c>
      <c r="H2554" t="n">
        <v>0.0106727879663904</v>
      </c>
      <c r="I2554" t="n">
        <v>0.6407872921636615</v>
      </c>
      <c r="J2554" t="n">
        <v>0.0039698350545365</v>
      </c>
      <c r="K2554" t="n">
        <v>0.8323208698636793</v>
      </c>
      <c r="L2554" t="b">
        <v>0</v>
      </c>
      <c r="M2554" t="b">
        <v>0</v>
      </c>
      <c r="N2554" t="inlineStr">
        <is>
          <t>alt</t>
        </is>
      </c>
      <c r="O2554" t="n">
        <v>-100</v>
      </c>
      <c r="P2554" t="n">
        <v>0.01944</v>
      </c>
      <c r="Q2554" t="n">
        <v>-100</v>
      </c>
      <c r="R2554" t="n">
        <v>0.1333</v>
      </c>
      <c r="S2554">
        <f>IMAGE("https://mitra.stanford.edu/kundaje/oak/projects/neuro-variants/variant_position/credible/roussos_2024/variant_figures/roussos_2024.childhood.Astrocyte/rs9756189_count_position.png",4,220,900)</f>
        <v/>
      </c>
      <c r="T2554">
        <f>IMAGE("https://mitra.stanford.edu/kundaje/oak/projects/neuro-variants/variant_position/credible/roussos_2024/variant_figures/roussos_2024.childhood.Astrocyte/rs9756189_profile_position.png",4,220,900)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-0.0038024426199999</v>
      </c>
      <c r="G2555" t="n">
        <v>0.901126974934305</v>
      </c>
      <c r="H2555" t="n">
        <v>0.0283214168394527</v>
      </c>
      <c r="I2555" t="n">
        <v>0.0372629195672561</v>
      </c>
      <c r="J2555" t="n">
        <v>0.0107874791051269</v>
      </c>
      <c r="K2555" t="n">
        <v>0.6806826584559331</v>
      </c>
      <c r="L2555" t="b">
        <v>0</v>
      </c>
      <c r="M2555" t="b">
        <v>0</v>
      </c>
      <c r="N2555" t="inlineStr">
        <is>
          <t>ref</t>
        </is>
      </c>
      <c r="O2555" t="n">
        <v>-100</v>
      </c>
      <c r="P2555" t="n">
        <v>0.007263</v>
      </c>
      <c r="Q2555" t="n">
        <v>25</v>
      </c>
      <c r="R2555" t="n">
        <v>0.0793</v>
      </c>
      <c r="S2555">
        <f>IMAGE("https://mitra.stanford.edu/kundaje/oak/projects/neuro-variants/variant_position/credible/roussos_2024/variant_figures/roussos_2024.childhood.Astrocyte/rs3804582_count_position.png",4,220,900)</f>
        <v/>
      </c>
      <c r="T2555">
        <f>IMAGE("https://mitra.stanford.edu/kundaje/oak/projects/neuro-variants/variant_position/credible/roussos_2024/variant_figures/roussos_2024.childhood.Astrocyte/rs3804582_profile_position.png",4,220,900)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0.0325700646</v>
      </c>
      <c r="G2556" t="n">
        <v>0.3565691502271282</v>
      </c>
      <c r="H2556" t="n">
        <v>0.0123887835269122</v>
      </c>
      <c r="I2556" t="n">
        <v>0.4828505150868746</v>
      </c>
      <c r="J2556" t="n">
        <v>0.0537511544655873</v>
      </c>
      <c r="K2556" t="n">
        <v>0.4335423868556256</v>
      </c>
      <c r="L2556" t="b">
        <v>0</v>
      </c>
      <c r="M2556" t="b">
        <v>0</v>
      </c>
      <c r="N2556" t="inlineStr">
        <is>
          <t>alt</t>
        </is>
      </c>
      <c r="O2556" t="n">
        <v>80</v>
      </c>
      <c r="P2556" t="n">
        <v>0.001486</v>
      </c>
      <c r="Q2556" t="n">
        <v>30</v>
      </c>
      <c r="R2556" t="n">
        <v>0.06335</v>
      </c>
      <c r="S2556">
        <f>IMAGE("https://mitra.stanford.edu/kundaje/oak/projects/neuro-variants/variant_position/credible/roussos_2024/variant_figures/roussos_2024.childhood.Astrocyte/rs17635268_count_position.png",4,220,900)</f>
        <v/>
      </c>
      <c r="T2556">
        <f>IMAGE("https://mitra.stanford.edu/kundaje/oak/projects/neuro-variants/variant_position/credible/roussos_2024/variant_figures/roussos_2024.childhood.Astrocyte/rs17635268_profile_position.png",4,220,900)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-0.1053827388</v>
      </c>
      <c r="G2557" t="n">
        <v>0.0697804846895233</v>
      </c>
      <c r="H2557" t="n">
        <v>0.0129868051244287</v>
      </c>
      <c r="I2557" t="n">
        <v>0.4296100067418006</v>
      </c>
      <c r="J2557" t="n">
        <v>0.0223344248280704</v>
      </c>
      <c r="K2557" t="n">
        <v>0.602311079557468</v>
      </c>
      <c r="L2557" t="b">
        <v>0</v>
      </c>
      <c r="M2557" t="b">
        <v>0</v>
      </c>
      <c r="N2557" t="inlineStr">
        <is>
          <t>ref</t>
        </is>
      </c>
      <c r="O2557" t="n">
        <v>95</v>
      </c>
      <c r="P2557" t="n">
        <v>0.005375</v>
      </c>
      <c r="Q2557" t="n">
        <v>-40</v>
      </c>
      <c r="R2557" t="n">
        <v>0.02405</v>
      </c>
      <c r="S2557">
        <f>IMAGE("https://mitra.stanford.edu/kundaje/oak/projects/neuro-variants/variant_position/credible/roussos_2024/variant_figures/roussos_2024.childhood.Astrocyte/rs2215709_count_position.png",4,220,900)</f>
        <v/>
      </c>
      <c r="T2557">
        <f>IMAGE("https://mitra.stanford.edu/kundaje/oak/projects/neuro-variants/variant_position/credible/roussos_2024/variant_figures/roussos_2024.childhood.Astrocyte/rs2215709_profile_position.png",4,220,900)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-0.0563233926</v>
      </c>
      <c r="G2558" t="n">
        <v>0.1966480966015754</v>
      </c>
      <c r="H2558" t="n">
        <v>0.0126509812161995</v>
      </c>
      <c r="I2558" t="n">
        <v>0.4598189942634679</v>
      </c>
      <c r="J2558" t="n">
        <v>0.0070893728103317</v>
      </c>
      <c r="K2558" t="n">
        <v>0.7593933616412897</v>
      </c>
      <c r="L2558" t="b">
        <v>0</v>
      </c>
      <c r="M2558" t="b">
        <v>0</v>
      </c>
      <c r="N2558" t="inlineStr">
        <is>
          <t>ref</t>
        </is>
      </c>
      <c r="O2558" t="n">
        <v>30</v>
      </c>
      <c r="P2558" t="n">
        <v>0.00177</v>
      </c>
      <c r="Q2558" t="n">
        <v>-45</v>
      </c>
      <c r="R2558" t="n">
        <v>0.04028</v>
      </c>
      <c r="S2558">
        <f>IMAGE("https://mitra.stanford.edu/kundaje/oak/projects/neuro-variants/variant_position/credible/roussos_2024/variant_figures/roussos_2024.childhood.Astrocyte/rs17635696_count_position.png",4,220,900)</f>
        <v/>
      </c>
      <c r="T2558">
        <f>IMAGE("https://mitra.stanford.edu/kundaje/oak/projects/neuro-variants/variant_position/credible/roussos_2024/variant_figures/roussos_2024.childhood.Astrocyte/rs17635696_profile_position.png",4,220,900)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-0.3344224299999999</v>
      </c>
      <c r="G2559" t="n">
        <v>0.004857752192878</v>
      </c>
      <c r="H2559" t="n">
        <v>0.040731523261219</v>
      </c>
      <c r="I2559" t="n">
        <v>0.009333710537697999</v>
      </c>
      <c r="J2559" t="n">
        <v>0.1107783197087311</v>
      </c>
      <c r="K2559" t="n">
        <v>0.3150551131382632</v>
      </c>
      <c r="L2559" t="b">
        <v>1</v>
      </c>
      <c r="M2559" t="b">
        <v>1</v>
      </c>
      <c r="N2559" t="inlineStr">
        <is>
          <t>ref</t>
        </is>
      </c>
      <c r="O2559" t="n">
        <v>-100</v>
      </c>
      <c r="P2559" t="n">
        <v>0.0376</v>
      </c>
      <c r="Q2559" t="n">
        <v>-100</v>
      </c>
      <c r="R2559" t="n">
        <v>0.2527</v>
      </c>
      <c r="S2559">
        <f>IMAGE("https://mitra.stanford.edu/kundaje/oak/projects/neuro-variants/variant_position/credible/roussos_2024/variant_figures/roussos_2024.childhood.Astrocyte/rs6771546_count_position.png",4,220,900)</f>
        <v/>
      </c>
      <c r="T2559">
        <f>IMAGE("https://mitra.stanford.edu/kundaje/oak/projects/neuro-variants/variant_position/credible/roussos_2024/variant_figures/roussos_2024.childhood.Astrocyte/rs6771546_profile_position.png",4,220,900)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-0.00734312714</v>
      </c>
      <c r="G2560" t="n">
        <v>0.6709806050388368</v>
      </c>
      <c r="H2560" t="n">
        <v>0.0108861376847238</v>
      </c>
      <c r="I2560" t="n">
        <v>0.6298060417013118</v>
      </c>
      <c r="J2560" t="n">
        <v>0.0329532183829085</v>
      </c>
      <c r="K2560" t="n">
        <v>0.525123334308872</v>
      </c>
      <c r="L2560" t="b">
        <v>0</v>
      </c>
      <c r="M2560" t="b">
        <v>0</v>
      </c>
      <c r="N2560" t="inlineStr">
        <is>
          <t>ref</t>
        </is>
      </c>
      <c r="O2560" t="n">
        <v>-75</v>
      </c>
      <c r="P2560" t="n">
        <v>0.00308</v>
      </c>
      <c r="Q2560" t="n">
        <v>75</v>
      </c>
      <c r="R2560" t="n">
        <v>0.1804</v>
      </c>
      <c r="S2560">
        <f>IMAGE("https://mitra.stanford.edu/kundaje/oak/projects/neuro-variants/variant_position/credible/roussos_2024/variant_figures/roussos_2024.childhood.Astrocyte/rs7609971_count_position.png",4,220,900)</f>
        <v/>
      </c>
      <c r="T2560">
        <f>IMAGE("https://mitra.stanford.edu/kundaje/oak/projects/neuro-variants/variant_position/credible/roussos_2024/variant_figures/roussos_2024.childhood.Astrocyte/rs7609971_profile_position.png",4,220,900)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-0.0516224465999999</v>
      </c>
      <c r="G2561" t="n">
        <v>0.2153767149532641</v>
      </c>
      <c r="H2561" t="n">
        <v>0.0111043028726328</v>
      </c>
      <c r="I2561" t="n">
        <v>0.597302583288181</v>
      </c>
      <c r="J2561" t="n">
        <v>0.0241052414645874</v>
      </c>
      <c r="K2561" t="n">
        <v>0.5590246972217047</v>
      </c>
      <c r="L2561" t="b">
        <v>0</v>
      </c>
      <c r="M2561" t="b">
        <v>0</v>
      </c>
      <c r="N2561" t="inlineStr">
        <is>
          <t>ref</t>
        </is>
      </c>
      <c r="O2561" t="n">
        <v>-90</v>
      </c>
      <c r="P2561" t="n">
        <v>0.2834</v>
      </c>
      <c r="Q2561" t="n">
        <v>-100</v>
      </c>
      <c r="R2561" t="n">
        <v>0.1028</v>
      </c>
      <c r="S2561">
        <f>IMAGE("https://mitra.stanford.edu/kundaje/oak/projects/neuro-variants/variant_position/credible/roussos_2024/variant_figures/roussos_2024.childhood.Astrocyte/rs58621288_count_position.png",4,220,900)</f>
        <v/>
      </c>
      <c r="T2561">
        <f>IMAGE("https://mitra.stanford.edu/kundaje/oak/projects/neuro-variants/variant_position/credible/roussos_2024/variant_figures/roussos_2024.childhood.Astrocyte/rs58621288_profile_position.png",4,220,900)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0.0232409328</v>
      </c>
      <c r="G2562" t="n">
        <v>0.4651571874991855</v>
      </c>
      <c r="H2562" t="n">
        <v>0.0138175932574343</v>
      </c>
      <c r="I2562" t="n">
        <v>0.3750279016587663</v>
      </c>
      <c r="J2562" t="n">
        <v>0.0147435750650698</v>
      </c>
      <c r="K2562" t="n">
        <v>0.6511721898748221</v>
      </c>
      <c r="L2562" t="b">
        <v>0</v>
      </c>
      <c r="M2562" t="b">
        <v>0</v>
      </c>
      <c r="N2562" t="inlineStr">
        <is>
          <t>alt</t>
        </is>
      </c>
      <c r="O2562" t="n">
        <v>90</v>
      </c>
      <c r="P2562" t="n">
        <v>0.013626</v>
      </c>
      <c r="Q2562" t="n">
        <v>100</v>
      </c>
      <c r="R2562" t="n">
        <v>0.0914</v>
      </c>
      <c r="S2562">
        <f>IMAGE("https://mitra.stanford.edu/kundaje/oak/projects/neuro-variants/variant_position/credible/roussos_2024/variant_figures/roussos_2024.childhood.Astrocyte/rs2624821_count_position.png",4,220,900)</f>
        <v/>
      </c>
      <c r="T2562">
        <f>IMAGE("https://mitra.stanford.edu/kundaje/oak/projects/neuro-variants/variant_position/credible/roussos_2024/variant_figures/roussos_2024.childhood.Astrocyte/rs2624821_profile_position.png",4,220,900)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-0.00744569824</v>
      </c>
      <c r="G2563" t="n">
        <v>0.8088536595018326</v>
      </c>
      <c r="H2563" t="n">
        <v>0.009143986954443699</v>
      </c>
      <c r="I2563" t="n">
        <v>0.7919593535972296</v>
      </c>
      <c r="J2563" t="n">
        <v>0.0210643218611893</v>
      </c>
      <c r="K2563" t="n">
        <v>0.5914356109221314</v>
      </c>
      <c r="L2563" t="b">
        <v>0</v>
      </c>
      <c r="M2563" t="b">
        <v>0</v>
      </c>
      <c r="N2563" t="inlineStr">
        <is>
          <t>ref</t>
        </is>
      </c>
      <c r="O2563" t="n">
        <v>-100</v>
      </c>
      <c r="P2563" t="n">
        <v>0.0409</v>
      </c>
      <c r="Q2563" t="n">
        <v>-100</v>
      </c>
      <c r="R2563" t="n">
        <v>0.0746</v>
      </c>
      <c r="S2563">
        <f>IMAGE("https://mitra.stanford.edu/kundaje/oak/projects/neuro-variants/variant_position/credible/roussos_2024/variant_figures/roussos_2024.childhood.Astrocyte/rs62262138_count_position.png",4,220,900)</f>
        <v/>
      </c>
      <c r="T2563">
        <f>IMAGE("https://mitra.stanford.edu/kundaje/oak/projects/neuro-variants/variant_position/credible/roussos_2024/variant_figures/roussos_2024.childhood.Astrocyte/rs62262138_profile_position.png",4,220,900)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-0.0600468173999999</v>
      </c>
      <c r="G2564" t="n">
        <v>0.1683636757234087</v>
      </c>
      <c r="H2564" t="n">
        <v>0.012107433384204</v>
      </c>
      <c r="I2564" t="n">
        <v>0.5057107745697306</v>
      </c>
      <c r="J2564" t="n">
        <v>0.0156976788562966</v>
      </c>
      <c r="K2564" t="n">
        <v>0.6363848073564822</v>
      </c>
      <c r="L2564" t="b">
        <v>0</v>
      </c>
      <c r="M2564" t="b">
        <v>0</v>
      </c>
      <c r="N2564" t="inlineStr">
        <is>
          <t>ref</t>
        </is>
      </c>
      <c r="O2564" t="n">
        <v>75</v>
      </c>
      <c r="P2564" t="n">
        <v>0.02014</v>
      </c>
      <c r="Q2564" t="n">
        <v>90</v>
      </c>
      <c r="R2564" t="n">
        <v>0.1982</v>
      </c>
      <c r="S2564">
        <f>IMAGE("https://mitra.stanford.edu/kundaje/oak/projects/neuro-variants/variant_position/credible/roussos_2024/variant_figures/roussos_2024.childhood.Astrocyte/rs199956414_count_position.png",4,220,900)</f>
        <v/>
      </c>
      <c r="T2564">
        <f>IMAGE("https://mitra.stanford.edu/kundaje/oak/projects/neuro-variants/variant_position/credible/roussos_2024/variant_figures/roussos_2024.childhood.Astrocyte/rs199956414_profile_position.png",4,220,900)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-0.0366196856</v>
      </c>
      <c r="G2565" t="n">
        <v>0.3384278221676134</v>
      </c>
      <c r="H2565" t="n">
        <v>0.0105187896469987</v>
      </c>
      <c r="I2565" t="n">
        <v>0.6550508241323797</v>
      </c>
      <c r="J2565" t="n">
        <v>0.0172234816392266</v>
      </c>
      <c r="K2565" t="n">
        <v>0.6221756590746246</v>
      </c>
      <c r="L2565" t="b">
        <v>0</v>
      </c>
      <c r="M2565" t="b">
        <v>0</v>
      </c>
      <c r="N2565" t="inlineStr">
        <is>
          <t>ref</t>
        </is>
      </c>
      <c r="O2565" t="n">
        <v>-30</v>
      </c>
      <c r="P2565" t="n">
        <v>0.006546</v>
      </c>
      <c r="Q2565" t="n">
        <v>-100</v>
      </c>
      <c r="R2565" t="n">
        <v>0.04337</v>
      </c>
      <c r="S2565">
        <f>IMAGE("https://mitra.stanford.edu/kundaje/oak/projects/neuro-variants/variant_position/credible/roussos_2024/variant_figures/roussos_2024.childhood.Astrocyte/rs4688690_count_position.png",4,220,900)</f>
        <v/>
      </c>
      <c r="T2565">
        <f>IMAGE("https://mitra.stanford.edu/kundaje/oak/projects/neuro-variants/variant_position/credible/roussos_2024/variant_figures/roussos_2024.childhood.Astrocyte/rs4688690_profile_position.png",4,220,900)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-0.029162178</v>
      </c>
      <c r="G2566" t="n">
        <v>0.4010057986075693</v>
      </c>
      <c r="H2566" t="n">
        <v>0.0700368607751692</v>
      </c>
      <c r="I2566" t="n">
        <v>0.0011700203529569</v>
      </c>
      <c r="J2566" t="n">
        <v>0.0075107050445375</v>
      </c>
      <c r="K2566" t="n">
        <v>0.7457009104662966</v>
      </c>
      <c r="L2566" t="b">
        <v>0</v>
      </c>
      <c r="M2566" t="b">
        <v>0</v>
      </c>
      <c r="N2566" t="inlineStr">
        <is>
          <t>ref</t>
        </is>
      </c>
      <c r="O2566" t="n">
        <v>-55</v>
      </c>
      <c r="P2566" t="n">
        <v>0.010254</v>
      </c>
      <c r="Q2566" t="n">
        <v>90</v>
      </c>
      <c r="R2566" t="n">
        <v>0.1919</v>
      </c>
      <c r="S2566">
        <f>IMAGE("https://mitra.stanford.edu/kundaje/oak/projects/neuro-variants/variant_position/credible/roussos_2024/variant_figures/roussos_2024.childhood.Astrocyte/rs111439884_count_position.png",4,220,900)</f>
        <v/>
      </c>
      <c r="T2566">
        <f>IMAGE("https://mitra.stanford.edu/kundaje/oak/projects/neuro-variants/variant_position/credible/roussos_2024/variant_figures/roussos_2024.childhood.Astrocyte/rs111439884_profile_position.png",4,220,900)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0.0237581074</v>
      </c>
      <c r="G2567" t="n">
        <v>0.4569227953662576</v>
      </c>
      <c r="H2567" t="n">
        <v>0.0185607047841997</v>
      </c>
      <c r="I2567" t="n">
        <v>0.1585799216090603</v>
      </c>
      <c r="J2567" t="n">
        <v>0.000780075259707</v>
      </c>
      <c r="K2567" t="n">
        <v>0.9133196410970016</v>
      </c>
      <c r="L2567" t="b">
        <v>0</v>
      </c>
      <c r="M2567" t="b">
        <v>0</v>
      </c>
      <c r="N2567" t="inlineStr">
        <is>
          <t>alt</t>
        </is>
      </c>
      <c r="O2567" t="n">
        <v>-20</v>
      </c>
      <c r="P2567" t="n">
        <v>0.01797</v>
      </c>
      <c r="Q2567" t="n">
        <v>-35</v>
      </c>
      <c r="R2567" t="n">
        <v>0.11523</v>
      </c>
      <c r="S2567">
        <f>IMAGE("https://mitra.stanford.edu/kundaje/oak/projects/neuro-variants/variant_position/credible/roussos_2024/variant_figures/roussos_2024.childhood.Astrocyte/rs34080578_count_position.png",4,220,900)</f>
        <v/>
      </c>
      <c r="T2567">
        <f>IMAGE("https://mitra.stanford.edu/kundaje/oak/projects/neuro-variants/variant_position/credible/roussos_2024/variant_figures/roussos_2024.childhood.Astrocyte/rs34080578_profile_position.png",4,220,900)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-0.0673481504</v>
      </c>
      <c r="G2568" t="n">
        <v>0.143860680578563</v>
      </c>
      <c r="H2568" t="n">
        <v>0.009881088107697399</v>
      </c>
      <c r="I2568" t="n">
        <v>0.7224903154977065</v>
      </c>
      <c r="J2568" t="n">
        <v>0.0013372718737834</v>
      </c>
      <c r="K2568" t="n">
        <v>0.8857585367260234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0.02394</v>
      </c>
      <c r="Q2568" t="n">
        <v>-95</v>
      </c>
      <c r="R2568" t="n">
        <v>0.0735</v>
      </c>
      <c r="S2568">
        <f>IMAGE("https://mitra.stanford.edu/kundaje/oak/projects/neuro-variants/variant_position/credible/roussos_2024/variant_figures/roussos_2024.childhood.Astrocyte/rs2353579_count_position.png",4,220,900)</f>
        <v/>
      </c>
      <c r="T2568">
        <f>IMAGE("https://mitra.stanford.edu/kundaje/oak/projects/neuro-variants/variant_position/credible/roussos_2024/variant_figures/roussos_2024.childhood.Astrocyte/rs2353579_profile_position.png",4,220,900)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0.06297711979999999</v>
      </c>
      <c r="G2569" t="n">
        <v>0.1663231718758915</v>
      </c>
      <c r="H2569" t="n">
        <v>0.0212788705834723</v>
      </c>
      <c r="I2569" t="n">
        <v>0.1034219212697232</v>
      </c>
      <c r="J2569" t="n">
        <v>0.0247990657415675</v>
      </c>
      <c r="K2569" t="n">
        <v>0.5664279039998484</v>
      </c>
      <c r="L2569" t="b">
        <v>0</v>
      </c>
      <c r="M2569" t="b">
        <v>0</v>
      </c>
      <c r="N2569" t="inlineStr">
        <is>
          <t>alt</t>
        </is>
      </c>
      <c r="O2569" t="n">
        <v>55</v>
      </c>
      <c r="P2569" t="n">
        <v>0.003832</v>
      </c>
      <c r="Q2569" t="n">
        <v>55</v>
      </c>
      <c r="R2569" t="n">
        <v>0.0779</v>
      </c>
      <c r="S2569">
        <f>IMAGE("https://mitra.stanford.edu/kundaje/oak/projects/neuro-variants/variant_position/credible/roussos_2024/variant_figures/roussos_2024.childhood.Astrocyte/rs4688757_count_position.png",4,220,900)</f>
        <v/>
      </c>
      <c r="T2569">
        <f>IMAGE("https://mitra.stanford.edu/kundaje/oak/projects/neuro-variants/variant_position/credible/roussos_2024/variant_figures/roussos_2024.childhood.Astrocyte/rs4688757_profile_position.png",4,220,900)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-0.0065184841999999</v>
      </c>
      <c r="G2570" t="n">
        <v>0.8158692699264126</v>
      </c>
      <c r="H2570" t="n">
        <v>0.0106927729052186</v>
      </c>
      <c r="I2570" t="n">
        <v>0.6469444592225889</v>
      </c>
      <c r="J2570" t="n">
        <v>0.2888720966621633</v>
      </c>
      <c r="K2570" t="n">
        <v>0.1384921401530107</v>
      </c>
      <c r="L2570" t="b">
        <v>0</v>
      </c>
      <c r="M2570" t="b">
        <v>0</v>
      </c>
      <c r="N2570" t="inlineStr">
        <is>
          <t>ref</t>
        </is>
      </c>
      <c r="O2570" t="n">
        <v>-85</v>
      </c>
      <c r="P2570" t="n">
        <v>0.010376</v>
      </c>
      <c r="Q2570" t="n">
        <v>100</v>
      </c>
      <c r="R2570" t="n">
        <v>0.4312</v>
      </c>
      <c r="S2570">
        <f>IMAGE("https://mitra.stanford.edu/kundaje/oak/projects/neuro-variants/variant_position/credible/roussos_2024/variant_figures/roussos_2024.childhood.Astrocyte/rs6765484_count_position.png",4,220,900)</f>
        <v/>
      </c>
      <c r="T2570">
        <f>IMAGE("https://mitra.stanford.edu/kundaje/oak/projects/neuro-variants/variant_position/credible/roussos_2024/variant_figures/roussos_2024.childhood.Astrocyte/rs6765484_profile_position.png",4,220,900)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-0.0010542225599999</v>
      </c>
      <c r="G2571" t="n">
        <v>0.5037435866026043</v>
      </c>
      <c r="H2571" t="n">
        <v>0.0275180277790619</v>
      </c>
      <c r="I2571" t="n">
        <v>0.0411469886926961</v>
      </c>
      <c r="J2571" t="n">
        <v>0.0086144123102287</v>
      </c>
      <c r="K2571" t="n">
        <v>0.7079019220480641</v>
      </c>
      <c r="L2571" t="b">
        <v>0</v>
      </c>
      <c r="M2571" t="b">
        <v>0</v>
      </c>
      <c r="N2571" t="inlineStr">
        <is>
          <t>ref</t>
        </is>
      </c>
      <c r="O2571" t="n">
        <v>-95</v>
      </c>
      <c r="P2571" t="n">
        <v>0.01135</v>
      </c>
      <c r="Q2571" t="n">
        <v>-70</v>
      </c>
      <c r="R2571" t="n">
        <v>0.11017</v>
      </c>
      <c r="S2571">
        <f>IMAGE("https://mitra.stanford.edu/kundaje/oak/projects/neuro-variants/variant_position/credible/roussos_2024/variant_figures/roussos_2024.childhood.Astrocyte/rs7634917_count_position.png",4,220,900)</f>
        <v/>
      </c>
      <c r="T2571">
        <f>IMAGE("https://mitra.stanford.edu/kundaje/oak/projects/neuro-variants/variant_position/credible/roussos_2024/variant_figures/roussos_2024.childhood.Astrocyte/rs7634917_profile_position.png",4,220,900)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-0.123941182</v>
      </c>
      <c r="G2572" t="n">
        <v>0.0465614888744095</v>
      </c>
      <c r="H2572" t="n">
        <v>0.0636669346964919</v>
      </c>
      <c r="I2572" t="n">
        <v>0.0016542733787968</v>
      </c>
      <c r="J2572" t="n">
        <v>0.0290337600085487</v>
      </c>
      <c r="K2572" t="n">
        <v>0.5765882634863436</v>
      </c>
      <c r="L2572" t="b">
        <v>1</v>
      </c>
      <c r="M2572" t="b">
        <v>0</v>
      </c>
      <c r="N2572" t="inlineStr">
        <is>
          <t>ref</t>
        </is>
      </c>
      <c r="O2572" t="n">
        <v>-60</v>
      </c>
      <c r="P2572" t="n">
        <v>0.0105</v>
      </c>
      <c r="Q2572" t="n">
        <v>-55</v>
      </c>
      <c r="R2572" t="n">
        <v>0.02246</v>
      </c>
      <c r="S2572">
        <f>IMAGE("https://mitra.stanford.edu/kundaje/oak/projects/neuro-variants/variant_position/credible/roussos_2024/variant_figures/roussos_2024.childhood.Astrocyte/rs75729494_count_position.png",4,220,900)</f>
        <v/>
      </c>
      <c r="T2572">
        <f>IMAGE("https://mitra.stanford.edu/kundaje/oak/projects/neuro-variants/variant_position/credible/roussos_2024/variant_figures/roussos_2024.childhood.Astrocyte/rs75729494_profile_position.png",4,220,900)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-0.0163463102</v>
      </c>
      <c r="G2573" t="n">
        <v>0.5924421284527156</v>
      </c>
      <c r="H2573" t="n">
        <v>0.0307770641013514</v>
      </c>
      <c r="I2573" t="n">
        <v>0.0285424899534861</v>
      </c>
      <c r="J2573" t="n">
        <v>0.0141917214322242</v>
      </c>
      <c r="K2573" t="n">
        <v>0.639724464433267</v>
      </c>
      <c r="L2573" t="b">
        <v>0</v>
      </c>
      <c r="M2573" t="b">
        <v>0</v>
      </c>
      <c r="N2573" t="inlineStr">
        <is>
          <t>ref</t>
        </is>
      </c>
      <c r="O2573" t="n">
        <v>-100</v>
      </c>
      <c r="P2573" t="n">
        <v>0.00993</v>
      </c>
      <c r="Q2573" t="n">
        <v>-65</v>
      </c>
      <c r="R2573" t="n">
        <v>0.04187</v>
      </c>
      <c r="S2573">
        <f>IMAGE("https://mitra.stanford.edu/kundaje/oak/projects/neuro-variants/variant_position/credible/roussos_2024/variant_figures/roussos_2024.childhood.Astrocyte/rs6446193_count_position.png",4,220,900)</f>
        <v/>
      </c>
      <c r="T2573">
        <f>IMAGE("https://mitra.stanford.edu/kundaje/oak/projects/neuro-variants/variant_position/credible/roussos_2024/variant_figures/roussos_2024.childhood.Astrocyte/rs6446193_profile_position.png",4,220,900)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-0.02250466324</v>
      </c>
      <c r="G2574" t="n">
        <v>0.4917827257150894</v>
      </c>
      <c r="H2574" t="n">
        <v>0.0137174408053443</v>
      </c>
      <c r="I2574" t="n">
        <v>0.3724451510803135</v>
      </c>
      <c r="J2574" t="n">
        <v>0.0005281918588231</v>
      </c>
      <c r="K2574" t="n">
        <v>0.935115961315502</v>
      </c>
      <c r="L2574" t="b">
        <v>0</v>
      </c>
      <c r="M2574" t="b">
        <v>0</v>
      </c>
      <c r="N2574" t="inlineStr">
        <is>
          <t>ref</t>
        </is>
      </c>
      <c r="O2574" t="n">
        <v>-15</v>
      </c>
      <c r="P2574" t="n">
        <v>0.00235</v>
      </c>
      <c r="Q2574" t="n">
        <v>100</v>
      </c>
      <c r="R2574" t="n">
        <v>0.1517</v>
      </c>
      <c r="S2574">
        <f>IMAGE("https://mitra.stanford.edu/kundaje/oak/projects/neuro-variants/variant_position/credible/roussos_2024/variant_figures/roussos_2024.childhood.Astrocyte/rs11130240_count_position.png",4,220,900)</f>
        <v/>
      </c>
      <c r="T2574">
        <f>IMAGE("https://mitra.stanford.edu/kundaje/oak/projects/neuro-variants/variant_position/credible/roussos_2024/variant_figures/roussos_2024.childhood.Astrocyte/rs11130240_profile_position.png",4,220,900)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-0.0362289418</v>
      </c>
      <c r="G2575" t="n">
        <v>0.3238589568964586</v>
      </c>
      <c r="H2575" t="n">
        <v>0.01132204423162</v>
      </c>
      <c r="I2575" t="n">
        <v>0.5691595021762919</v>
      </c>
      <c r="J2575" t="n">
        <v>0.0008762489218626</v>
      </c>
      <c r="K2575" t="n">
        <v>0.910811740211902</v>
      </c>
      <c r="L2575" t="b">
        <v>0</v>
      </c>
      <c r="M2575" t="b">
        <v>0</v>
      </c>
      <c r="N2575" t="inlineStr">
        <is>
          <t>ref</t>
        </is>
      </c>
      <c r="O2575" t="n">
        <v>-100</v>
      </c>
      <c r="P2575" t="n">
        <v>0.03583</v>
      </c>
      <c r="Q2575" t="n">
        <v>60</v>
      </c>
      <c r="R2575" t="n">
        <v>0.0897</v>
      </c>
      <c r="S2575">
        <f>IMAGE("https://mitra.stanford.edu/kundaje/oak/projects/neuro-variants/variant_position/credible/roussos_2024/variant_figures/roussos_2024.childhood.Astrocyte/rs9866695_count_position.png",4,220,900)</f>
        <v/>
      </c>
      <c r="T2575">
        <f>IMAGE("https://mitra.stanford.edu/kundaje/oak/projects/neuro-variants/variant_position/credible/roussos_2024/variant_figures/roussos_2024.childhood.Astrocyte/rs9866695_profile_position.png",4,220,900)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-0.1095626768</v>
      </c>
      <c r="G2576" t="n">
        <v>0.0690714284533718</v>
      </c>
      <c r="H2576" t="n">
        <v>0.0369949470024757</v>
      </c>
      <c r="I2576" t="n">
        <v>0.0140674050011533</v>
      </c>
      <c r="J2576" t="n">
        <v>0.0042499599276407</v>
      </c>
      <c r="K2576" t="n">
        <v>0.808262437151377</v>
      </c>
      <c r="L2576" t="b">
        <v>0</v>
      </c>
      <c r="M2576" t="b">
        <v>0</v>
      </c>
      <c r="N2576" t="inlineStr">
        <is>
          <t>ref</t>
        </is>
      </c>
      <c r="O2576" t="n">
        <v>75</v>
      </c>
      <c r="P2576" t="n">
        <v>0.003315</v>
      </c>
      <c r="Q2576" t="n">
        <v>25</v>
      </c>
      <c r="R2576" t="n">
        <v>0.0249</v>
      </c>
      <c r="S2576">
        <f>IMAGE("https://mitra.stanford.edu/kundaje/oak/projects/neuro-variants/variant_position/credible/roussos_2024/variant_figures/roussos_2024.childhood.Astrocyte/rs12486470_count_position.png",4,220,900)</f>
        <v/>
      </c>
      <c r="T2576">
        <f>IMAGE("https://mitra.stanford.edu/kundaje/oak/projects/neuro-variants/variant_position/credible/roussos_2024/variant_figures/roussos_2024.childhood.Astrocyte/rs12486470_profile_position.png",4,220,900)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0.0793569224</v>
      </c>
      <c r="G2577" t="n">
        <v>0.1141655946443857</v>
      </c>
      <c r="H2577" t="n">
        <v>0.012339882024395</v>
      </c>
      <c r="I2577" t="n">
        <v>0.4777289476493795</v>
      </c>
      <c r="J2577" t="n">
        <v>0.0040522696220985</v>
      </c>
      <c r="K2577" t="n">
        <v>0.7936558378517509</v>
      </c>
      <c r="L2577" t="b">
        <v>0</v>
      </c>
      <c r="M2577" t="b">
        <v>0</v>
      </c>
      <c r="N2577" t="inlineStr">
        <is>
          <t>alt</t>
        </is>
      </c>
      <c r="O2577" t="n">
        <v>-100</v>
      </c>
      <c r="P2577" t="n">
        <v>0.151</v>
      </c>
      <c r="Q2577" t="n">
        <v>-100</v>
      </c>
      <c r="R2577" t="n">
        <v>0.10077</v>
      </c>
      <c r="S2577">
        <f>IMAGE("https://mitra.stanford.edu/kundaje/oak/projects/neuro-variants/variant_position/credible/roussos_2024/variant_figures/roussos_2024.childhood.Astrocyte/rs62263590_count_position.png",4,220,900)</f>
        <v/>
      </c>
      <c r="T2577">
        <f>IMAGE("https://mitra.stanford.edu/kundaje/oak/projects/neuro-variants/variant_position/credible/roussos_2024/variant_figures/roussos_2024.childhood.Astrocyte/rs62263590_profile_position.png",4,220,900)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0.00568553994</v>
      </c>
      <c r="G2578" t="n">
        <v>0.7324453386727346</v>
      </c>
      <c r="H2578" t="n">
        <v>0.0148542882863086</v>
      </c>
      <c r="I2578" t="n">
        <v>0.3067068729929254</v>
      </c>
      <c r="J2578" t="n">
        <v>0.0013838321387953</v>
      </c>
      <c r="K2578" t="n">
        <v>0.8820074058576438</v>
      </c>
      <c r="L2578" t="b">
        <v>0</v>
      </c>
      <c r="M2578" t="b">
        <v>0</v>
      </c>
      <c r="N2578" t="inlineStr">
        <is>
          <t>alt</t>
        </is>
      </c>
      <c r="O2578" t="n">
        <v>-70</v>
      </c>
      <c r="P2578" t="n">
        <v>0.01173</v>
      </c>
      <c r="Q2578" t="n">
        <v>95</v>
      </c>
      <c r="R2578" t="n">
        <v>0.0837</v>
      </c>
      <c r="S2578">
        <f>IMAGE("https://mitra.stanford.edu/kundaje/oak/projects/neuro-variants/variant_position/credible/roussos_2024/variant_figures/roussos_2024.childhood.Astrocyte/rs3733133_count_position.png",4,220,900)</f>
        <v/>
      </c>
      <c r="T2578">
        <f>IMAGE("https://mitra.stanford.edu/kundaje/oak/projects/neuro-variants/variant_position/credible/roussos_2024/variant_figures/roussos_2024.childhood.Astrocyte/rs3733133_profile_position.png",4,220,900)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-0.0095097312</v>
      </c>
      <c r="G2579" t="n">
        <v>0.5026946964773752</v>
      </c>
      <c r="H2579" t="n">
        <v>0.0106536140365452</v>
      </c>
      <c r="I2579" t="n">
        <v>0.6487354768599122</v>
      </c>
      <c r="J2579" t="n">
        <v>0.4488088968270324</v>
      </c>
      <c r="K2579" t="n">
        <v>0.0701555268689861</v>
      </c>
      <c r="L2579" t="b">
        <v>0</v>
      </c>
      <c r="M2579" t="b">
        <v>0</v>
      </c>
      <c r="N2579" t="inlineStr">
        <is>
          <t>ref</t>
        </is>
      </c>
      <c r="O2579" t="n">
        <v>-100</v>
      </c>
      <c r="P2579" t="n">
        <v>0.00908</v>
      </c>
      <c r="Q2579" t="n">
        <v>100</v>
      </c>
      <c r="R2579" t="n">
        <v>0.2627</v>
      </c>
      <c r="S2579">
        <f>IMAGE("https://mitra.stanford.edu/kundaje/oak/projects/neuro-variants/variant_position/credible/roussos_2024/variant_figures/roussos_2024.childhood.Astrocyte/rs2624847_count_position.png",4,220,900)</f>
        <v/>
      </c>
      <c r="T2579">
        <f>IMAGE("https://mitra.stanford.edu/kundaje/oak/projects/neuro-variants/variant_position/credible/roussos_2024/variant_figures/roussos_2024.childhood.Astrocyte/rs2624847_profile_position.png",4,220,900)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0.0336762983999999</v>
      </c>
      <c r="G2580" t="n">
        <v>0.2782907826391946</v>
      </c>
      <c r="H2580" t="n">
        <v>0.0126745327567737</v>
      </c>
      <c r="I2580" t="n">
        <v>0.4607590238059375</v>
      </c>
      <c r="J2580" t="n">
        <v>0.5246097715493883</v>
      </c>
      <c r="K2580" t="n">
        <v>0.0491019896241078</v>
      </c>
      <c r="L2580" t="b">
        <v>0</v>
      </c>
      <c r="M2580" t="b">
        <v>0</v>
      </c>
      <c r="N2580" t="inlineStr">
        <is>
          <t>alt</t>
        </is>
      </c>
      <c r="O2580" t="n">
        <v>-85</v>
      </c>
      <c r="P2580" t="n">
        <v>0.02737</v>
      </c>
      <c r="Q2580" t="n">
        <v>-85</v>
      </c>
      <c r="R2580" t="n">
        <v>0.2593</v>
      </c>
      <c r="S2580">
        <f>IMAGE("https://mitra.stanford.edu/kundaje/oak/projects/neuro-variants/variant_position/credible/roussos_2024/variant_figures/roussos_2024.childhood.Astrocyte/rs12054052_count_position.png",4,220,900)</f>
        <v/>
      </c>
      <c r="T2580">
        <f>IMAGE("https://mitra.stanford.edu/kundaje/oak/projects/neuro-variants/variant_position/credible/roussos_2024/variant_figures/roussos_2024.childhood.Astrocyte/rs12054052_profile_position.png",4,220,900)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0.308550848</v>
      </c>
      <c r="G2581" t="n">
        <v>0.0051671238657074</v>
      </c>
      <c r="H2581" t="n">
        <v>0.0303554754179239</v>
      </c>
      <c r="I2581" t="n">
        <v>0.0301716923227531</v>
      </c>
      <c r="J2581" t="n">
        <v>0.5078870035797973</v>
      </c>
      <c r="K2581" t="n">
        <v>0.0529884412700495</v>
      </c>
      <c r="L2581" t="b">
        <v>1</v>
      </c>
      <c r="M2581" t="b">
        <v>1</v>
      </c>
      <c r="N2581" t="inlineStr">
        <is>
          <t>alt</t>
        </is>
      </c>
      <c r="O2581" t="n">
        <v>0</v>
      </c>
      <c r="P2581" t="n">
        <v>0</v>
      </c>
      <c r="Q2581" t="n">
        <v>-5</v>
      </c>
      <c r="R2581" t="n">
        <v>0.01318</v>
      </c>
      <c r="S2581">
        <f>IMAGE("https://mitra.stanford.edu/kundaje/oak/projects/neuro-variants/variant_position/credible/roussos_2024/variant_figures/roussos_2024.childhood.Astrocyte/rs2624835_count_position.png",4,220,900)</f>
        <v/>
      </c>
      <c r="T2581">
        <f>IMAGE("https://mitra.stanford.edu/kundaje/oak/projects/neuro-variants/variant_position/credible/roussos_2024/variant_figures/roussos_2024.childhood.Astrocyte/rs2624835_profile_position.png",4,220,900)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0.068928239</v>
      </c>
      <c r="G2582" t="n">
        <v>0.1507770957863161</v>
      </c>
      <c r="H2582" t="n">
        <v>0.017288200858677</v>
      </c>
      <c r="I2582" t="n">
        <v>0.2135955714524746</v>
      </c>
      <c r="J2582" t="n">
        <v>0.0943081984230572</v>
      </c>
      <c r="K2582" t="n">
        <v>0.3482832702909113</v>
      </c>
      <c r="L2582" t="b">
        <v>0</v>
      </c>
      <c r="M2582" t="b">
        <v>0</v>
      </c>
      <c r="N2582" t="inlineStr">
        <is>
          <t>alt</t>
        </is>
      </c>
      <c r="O2582" t="n">
        <v>65</v>
      </c>
      <c r="P2582" t="n">
        <v>0.00582</v>
      </c>
      <c r="Q2582" t="n">
        <v>40</v>
      </c>
      <c r="R2582" t="n">
        <v>0.1287</v>
      </c>
      <c r="S2582">
        <f>IMAGE("https://mitra.stanford.edu/kundaje/oak/projects/neuro-variants/variant_position/credible/roussos_2024/variant_figures/roussos_2024.childhood.Astrocyte/rs3755831_count_position.png",4,220,900)</f>
        <v/>
      </c>
      <c r="T2582">
        <f>IMAGE("https://mitra.stanford.edu/kundaje/oak/projects/neuro-variants/variant_position/credible/roussos_2024/variant_figures/roussos_2024.childhood.Astrocyte/rs3755831_profile_position.png",4,220,900)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-0.09060856171999999</v>
      </c>
      <c r="G2583" t="n">
        <v>0.090213538787461</v>
      </c>
      <c r="H2583" t="n">
        <v>0.0149016936607774</v>
      </c>
      <c r="I2583" t="n">
        <v>0.3037946090681357</v>
      </c>
      <c r="J2583" t="n">
        <v>0.4028088815613717</v>
      </c>
      <c r="K2583" t="n">
        <v>0.0848409202993175</v>
      </c>
      <c r="L2583" t="b">
        <v>0</v>
      </c>
      <c r="M2583" t="b">
        <v>0</v>
      </c>
      <c r="N2583" t="inlineStr">
        <is>
          <t>ref</t>
        </is>
      </c>
      <c r="O2583" t="n">
        <v>-40</v>
      </c>
      <c r="P2583" t="n">
        <v>0.003235</v>
      </c>
      <c r="Q2583" t="n">
        <v>-40</v>
      </c>
      <c r="R2583" t="n">
        <v>0.0757</v>
      </c>
      <c r="S2583">
        <f>IMAGE("https://mitra.stanford.edu/kundaje/oak/projects/neuro-variants/variant_position/credible/roussos_2024/variant_figures/roussos_2024.childhood.Astrocyte/rs4688683_count_position.png",4,220,900)</f>
        <v/>
      </c>
      <c r="T2583">
        <f>IMAGE("https://mitra.stanford.edu/kundaje/oak/projects/neuro-variants/variant_position/credible/roussos_2024/variant_figures/roussos_2024.childhood.Astrocyte/rs4688683_profile_position.png",4,220,900)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0.0307373956</v>
      </c>
      <c r="G2584" t="n">
        <v>0.2368310638881746</v>
      </c>
      <c r="H2584" t="n">
        <v>0.0211611112603228</v>
      </c>
      <c r="I2584" t="n">
        <v>0.1050775090478441</v>
      </c>
      <c r="J2584" t="n">
        <v>0.8385862471663117</v>
      </c>
      <c r="K2584" t="n">
        <v>0.0054650501329844</v>
      </c>
      <c r="L2584" t="b">
        <v>0</v>
      </c>
      <c r="M2584" t="b">
        <v>0</v>
      </c>
      <c r="N2584" t="inlineStr">
        <is>
          <t>alt</t>
        </is>
      </c>
      <c r="O2584" t="n">
        <v>100</v>
      </c>
      <c r="P2584" t="n">
        <v>0.01204</v>
      </c>
      <c r="Q2584" t="n">
        <v>5</v>
      </c>
      <c r="R2584" t="n">
        <v>0.02393</v>
      </c>
      <c r="S2584">
        <f>IMAGE("https://mitra.stanford.edu/kundaje/oak/projects/neuro-variants/variant_position/credible/roussos_2024/variant_figures/roussos_2024.childhood.Astrocyte/rs2236939_count_position.png",4,220,900)</f>
        <v/>
      </c>
      <c r="T2584">
        <f>IMAGE("https://mitra.stanford.edu/kundaje/oak/projects/neuro-variants/variant_position/credible/roussos_2024/variant_figures/roussos_2024.childhood.Astrocyte/rs2236939_profile_position.png",4,220,900)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-0.06406707640000001</v>
      </c>
      <c r="G2585" t="n">
        <v>0.1557350545186397</v>
      </c>
      <c r="H2585" t="n">
        <v>0.0099112888387137</v>
      </c>
      <c r="I2585" t="n">
        <v>0.7093806709451468</v>
      </c>
      <c r="J2585" t="n">
        <v>0.3743452939784602</v>
      </c>
      <c r="K2585" t="n">
        <v>0.0974502758907998</v>
      </c>
      <c r="L2585" t="b">
        <v>0</v>
      </c>
      <c r="M2585" t="b">
        <v>0</v>
      </c>
      <c r="N2585" t="inlineStr">
        <is>
          <t>ref</t>
        </is>
      </c>
      <c r="O2585" t="n">
        <v>5</v>
      </c>
      <c r="P2585" t="n">
        <v>0.002798</v>
      </c>
      <c r="Q2585" t="n">
        <v>-100</v>
      </c>
      <c r="R2585" t="n">
        <v>0.08260000000000001</v>
      </c>
      <c r="S2585">
        <f>IMAGE("https://mitra.stanford.edu/kundaje/oak/projects/neuro-variants/variant_position/credible/roussos_2024/variant_figures/roussos_2024.childhood.Astrocyte/rs2236940_count_position.png",4,220,900)</f>
        <v/>
      </c>
      <c r="T2585">
        <f>IMAGE("https://mitra.stanford.edu/kundaje/oak/projects/neuro-variants/variant_position/credible/roussos_2024/variant_figures/roussos_2024.childhood.Astrocyte/rs2236940_profile_position.png",4,220,900)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-0.0129935017999999</v>
      </c>
      <c r="G2586" t="n">
        <v>0.6502771861993661</v>
      </c>
      <c r="H2586" t="n">
        <v>0.0271519775039292</v>
      </c>
      <c r="I2586" t="n">
        <v>0.0438615700947647</v>
      </c>
      <c r="J2586" t="n">
        <v>0.6114309267019303</v>
      </c>
      <c r="K2586" t="n">
        <v>0.0316317523745121</v>
      </c>
      <c r="L2586" t="b">
        <v>0</v>
      </c>
      <c r="M2586" t="b">
        <v>0</v>
      </c>
      <c r="N2586" t="inlineStr">
        <is>
          <t>ref</t>
        </is>
      </c>
      <c r="O2586" t="n">
        <v>40</v>
      </c>
      <c r="P2586" t="n">
        <v>0.0195</v>
      </c>
      <c r="Q2586" t="n">
        <v>-20</v>
      </c>
      <c r="R2586" t="n">
        <v>0.0343</v>
      </c>
      <c r="S2586">
        <f>IMAGE("https://mitra.stanford.edu/kundaje/oak/projects/neuro-variants/variant_position/credible/roussos_2024/variant_figures/roussos_2024.childhood.Astrocyte/rs4688743_count_position.png",4,220,900)</f>
        <v/>
      </c>
      <c r="T2586">
        <f>IMAGE("https://mitra.stanford.edu/kundaje/oak/projects/neuro-variants/variant_position/credible/roussos_2024/variant_figures/roussos_2024.childhood.Astrocyte/rs4688743_profile_position.png",4,220,900)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0.045070469</v>
      </c>
      <c r="G2587" t="n">
        <v>0.2431398505626371</v>
      </c>
      <c r="H2587" t="n">
        <v>0.0098497106406007</v>
      </c>
      <c r="I2587" t="n">
        <v>0.7270574015698347</v>
      </c>
      <c r="J2587" t="n">
        <v>0.2160342866738414</v>
      </c>
      <c r="K2587" t="n">
        <v>0.1882068628650758</v>
      </c>
      <c r="L2587" t="b">
        <v>0</v>
      </c>
      <c r="M2587" t="b">
        <v>0</v>
      </c>
      <c r="N2587" t="inlineStr">
        <is>
          <t>alt</t>
        </is>
      </c>
      <c r="O2587" t="n">
        <v>-95</v>
      </c>
      <c r="P2587" t="n">
        <v>0.00696</v>
      </c>
      <c r="Q2587" t="n">
        <v>100</v>
      </c>
      <c r="R2587" t="n">
        <v>0.10345</v>
      </c>
      <c r="S2587">
        <f>IMAGE("https://mitra.stanford.edu/kundaje/oak/projects/neuro-variants/variant_position/credible/roussos_2024/variant_figures/roussos_2024.childhood.Astrocyte/rs6776145_count_position.png",4,220,900)</f>
        <v/>
      </c>
      <c r="T2587">
        <f>IMAGE("https://mitra.stanford.edu/kundaje/oak/projects/neuro-variants/variant_position/credible/roussos_2024/variant_figures/roussos_2024.childhood.Astrocyte/rs6776145_profile_position.png",4,220,900)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0.148430558</v>
      </c>
      <c r="G2588" t="n">
        <v>0.0375502983187383</v>
      </c>
      <c r="H2588" t="n">
        <v>0.0214853581624852</v>
      </c>
      <c r="I2588" t="n">
        <v>0.09950043288303689</v>
      </c>
      <c r="J2588" t="n">
        <v>0.5770427362170165</v>
      </c>
      <c r="K2588" t="n">
        <v>0.0372782839831676</v>
      </c>
      <c r="L2588" t="b">
        <v>0</v>
      </c>
      <c r="M2588" t="b">
        <v>0</v>
      </c>
      <c r="N2588" t="inlineStr">
        <is>
          <t>alt</t>
        </is>
      </c>
      <c r="O2588" t="n">
        <v>95</v>
      </c>
      <c r="P2588" t="n">
        <v>0.01004</v>
      </c>
      <c r="Q2588" t="n">
        <v>85</v>
      </c>
      <c r="R2588" t="n">
        <v>0.2241</v>
      </c>
      <c r="S2588">
        <f>IMAGE("https://mitra.stanford.edu/kundaje/oak/projects/neuro-variants/variant_position/credible/roussos_2024/variant_figures/roussos_2024.childhood.Astrocyte/rs28365992_count_position.png",4,220,900)</f>
        <v/>
      </c>
      <c r="T2588">
        <f>IMAGE("https://mitra.stanford.edu/kundaje/oak/projects/neuro-variants/variant_position/credible/roussos_2024/variant_figures/roussos_2024.childhood.Astrocyte/rs28365992_profile_position.png",4,220,900)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0.0364770222</v>
      </c>
      <c r="G2589" t="n">
        <v>0.3156485549861338</v>
      </c>
      <c r="H2589" t="n">
        <v>0.0144665709790772</v>
      </c>
      <c r="I2589" t="n">
        <v>0.3312822448206201</v>
      </c>
      <c r="J2589" t="n">
        <v>0.0166670483081831</v>
      </c>
      <c r="K2589" t="n">
        <v>0.6263594389806102</v>
      </c>
      <c r="L2589" t="b">
        <v>0</v>
      </c>
      <c r="M2589" t="b">
        <v>0</v>
      </c>
      <c r="N2589" t="inlineStr">
        <is>
          <t>alt</t>
        </is>
      </c>
      <c r="O2589" t="n">
        <v>-80</v>
      </c>
      <c r="P2589" t="n">
        <v>0.0268</v>
      </c>
      <c r="Q2589" t="n">
        <v>-80</v>
      </c>
      <c r="R2589" t="n">
        <v>0.1154</v>
      </c>
      <c r="S2589">
        <f>IMAGE("https://mitra.stanford.edu/kundaje/oak/projects/neuro-variants/variant_position/credible/roussos_2024/variant_figures/roussos_2024.childhood.Astrocyte/rs12492683_count_position.png",4,220,900)</f>
        <v/>
      </c>
      <c r="T2589">
        <f>IMAGE("https://mitra.stanford.edu/kundaje/oak/projects/neuro-variants/variant_position/credible/roussos_2024/variant_figures/roussos_2024.childhood.Astrocyte/rs12492683_profile_position.png",4,220,900)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0.504300138</v>
      </c>
      <c r="G2590" t="n">
        <v>0.0010858463736901</v>
      </c>
      <c r="H2590" t="n">
        <v>0.0688028944267888</v>
      </c>
      <c r="I2590" t="n">
        <v>0.0013932890579485</v>
      </c>
      <c r="J2590" t="n">
        <v>0.2036393335012555</v>
      </c>
      <c r="K2590" t="n">
        <v>0.1990086241138484</v>
      </c>
      <c r="L2590" t="b">
        <v>1</v>
      </c>
      <c r="M2590" t="b">
        <v>1</v>
      </c>
      <c r="N2590" t="inlineStr">
        <is>
          <t>alt</t>
        </is>
      </c>
      <c r="O2590" t="n">
        <v>0</v>
      </c>
      <c r="P2590" t="n">
        <v>0</v>
      </c>
      <c r="Q2590" t="n">
        <v>5</v>
      </c>
      <c r="R2590" t="n">
        <v>0.006348</v>
      </c>
      <c r="S2590">
        <f>IMAGE("https://mitra.stanford.edu/kundaje/oak/projects/neuro-variants/variant_position/credible/roussos_2024/variant_figures/roussos_2024.childhood.Astrocyte/rs12054403_count_position.png",4,220,900)</f>
        <v/>
      </c>
      <c r="T2590">
        <f>IMAGE("https://mitra.stanford.edu/kundaje/oak/projects/neuro-variants/variant_position/credible/roussos_2024/variant_figures/roussos_2024.childhood.Astrocyte/rs12054403_profile_position.png",4,220,900)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0.0218465734</v>
      </c>
      <c r="G2591" t="n">
        <v>0.1715254908276209</v>
      </c>
      <c r="H2591" t="n">
        <v>0.0234694287610492</v>
      </c>
      <c r="I2591" t="n">
        <v>0.0756073434071253</v>
      </c>
      <c r="J2591" t="n">
        <v>0.526268385580057</v>
      </c>
      <c r="K2591" t="n">
        <v>0.0490268843405839</v>
      </c>
      <c r="L2591" t="b">
        <v>0</v>
      </c>
      <c r="M2591" t="b">
        <v>0</v>
      </c>
      <c r="N2591" t="inlineStr">
        <is>
          <t>alt</t>
        </is>
      </c>
      <c r="O2591" t="n">
        <v>-95</v>
      </c>
      <c r="P2591" t="n">
        <v>0.001832</v>
      </c>
      <c r="Q2591" t="n">
        <v>-100</v>
      </c>
      <c r="R2591" t="n">
        <v>0.1509</v>
      </c>
      <c r="S2591">
        <f>IMAGE("https://mitra.stanford.edu/kundaje/oak/projects/neuro-variants/variant_position/credible/roussos_2024/variant_figures/roussos_2024.childhood.Astrocyte/rs2236947_count_position.png",4,220,900)</f>
        <v/>
      </c>
      <c r="T2591">
        <f>IMAGE("https://mitra.stanford.edu/kundaje/oak/projects/neuro-variants/variant_position/credible/roussos_2024/variant_figures/roussos_2024.childhood.Astrocyte/rs2236947_profile_position.png",4,220,900)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-0.0148861218999999</v>
      </c>
      <c r="G2592" t="n">
        <v>0.6215017244390619</v>
      </c>
      <c r="H2592" t="n">
        <v>0.024170377939412</v>
      </c>
      <c r="I2592" t="n">
        <v>0.0684086710415456</v>
      </c>
      <c r="J2592" t="n">
        <v>0.1224565501133475</v>
      </c>
      <c r="K2592" t="n">
        <v>0.2889455771238686</v>
      </c>
      <c r="L2592" t="b">
        <v>0</v>
      </c>
      <c r="M2592" t="b">
        <v>0</v>
      </c>
      <c r="N2592" t="inlineStr">
        <is>
          <t>ref</t>
        </is>
      </c>
      <c r="O2592" t="n">
        <v>100</v>
      </c>
      <c r="P2592" t="n">
        <v>0.005615</v>
      </c>
      <c r="Q2592" t="n">
        <v>100</v>
      </c>
      <c r="R2592" t="n">
        <v>0.1627</v>
      </c>
      <c r="S2592">
        <f>IMAGE("https://mitra.stanford.edu/kundaje/oak/projects/neuro-variants/variant_position/credible/roussos_2024/variant_figures/roussos_2024.childhood.Astrocyte/rs58181992_count_position.png",4,220,900)</f>
        <v/>
      </c>
      <c r="T2592">
        <f>IMAGE("https://mitra.stanford.edu/kundaje/oak/projects/neuro-variants/variant_position/credible/roussos_2024/variant_figures/roussos_2024.childhood.Astrocyte/rs58181992_profile_position.png",4,220,900)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0.012041686386</v>
      </c>
      <c r="G2593" t="n">
        <v>0.5770798158464464</v>
      </c>
      <c r="H2593" t="n">
        <v>0.0105571634490408</v>
      </c>
      <c r="I2593" t="n">
        <v>0.6530111801325168</v>
      </c>
      <c r="J2593" t="n">
        <v>0.0283933655438772</v>
      </c>
      <c r="K2593" t="n">
        <v>0.5738135548370842</v>
      </c>
      <c r="L2593" t="b">
        <v>0</v>
      </c>
      <c r="M2593" t="b">
        <v>0</v>
      </c>
      <c r="N2593" t="inlineStr">
        <is>
          <t>alt</t>
        </is>
      </c>
      <c r="O2593" t="n">
        <v>-20</v>
      </c>
      <c r="P2593" t="n">
        <v>0.001194</v>
      </c>
      <c r="Q2593" t="n">
        <v>100</v>
      </c>
      <c r="R2593" t="n">
        <v>0.1311</v>
      </c>
      <c r="S2593">
        <f>IMAGE("https://mitra.stanford.edu/kundaje/oak/projects/neuro-variants/variant_position/credible/roussos_2024/variant_figures/roussos_2024.childhood.Astrocyte/rs6446206_count_position.png",4,220,900)</f>
        <v/>
      </c>
      <c r="T2593">
        <f>IMAGE("https://mitra.stanford.edu/kundaje/oak/projects/neuro-variants/variant_position/credible/roussos_2024/variant_figures/roussos_2024.childhood.Astrocyte/rs6446206_profile_position.png",4,220,900)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0.00165829656</v>
      </c>
      <c r="G2594" t="n">
        <v>0.6546622158165214</v>
      </c>
      <c r="H2594" t="n">
        <v>0.0294108946199293</v>
      </c>
      <c r="I2594" t="n">
        <v>0.0328172493019752</v>
      </c>
      <c r="J2594" t="n">
        <v>0.7225985207574822</v>
      </c>
      <c r="K2594" t="n">
        <v>0.0158938328834049</v>
      </c>
      <c r="L2594" t="b">
        <v>0</v>
      </c>
      <c r="M2594" t="b">
        <v>0</v>
      </c>
      <c r="N2594" t="inlineStr">
        <is>
          <t>alt</t>
        </is>
      </c>
      <c r="O2594" t="n">
        <v>-100</v>
      </c>
      <c r="P2594" t="n">
        <v>0.01685</v>
      </c>
      <c r="Q2594" t="n">
        <v>-100</v>
      </c>
      <c r="R2594" t="n">
        <v>0.1582</v>
      </c>
      <c r="S2594">
        <f>IMAGE("https://mitra.stanford.edu/kundaje/oak/projects/neuro-variants/variant_position/credible/roussos_2024/variant_figures/roussos_2024.childhood.Astrocyte/rs2157328_count_position.png",4,220,900)</f>
        <v/>
      </c>
      <c r="T2594">
        <f>IMAGE("https://mitra.stanford.edu/kundaje/oak/projects/neuro-variants/variant_position/credible/roussos_2024/variant_figures/roussos_2024.childhood.Astrocyte/rs2157328_profile_position.png",4,220,900)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-0.0065748028799999</v>
      </c>
      <c r="G2595" t="n">
        <v>0.7305836997705375</v>
      </c>
      <c r="H2595" t="n">
        <v>0.0284549868301415</v>
      </c>
      <c r="I2595" t="n">
        <v>0.0365889280864634</v>
      </c>
      <c r="J2595" t="n">
        <v>0.0391136757421018</v>
      </c>
      <c r="K2595" t="n">
        <v>0.5020067275041048</v>
      </c>
      <c r="L2595" t="b">
        <v>0</v>
      </c>
      <c r="M2595" t="b">
        <v>0</v>
      </c>
      <c r="N2595" t="inlineStr">
        <is>
          <t>ref</t>
        </is>
      </c>
      <c r="O2595" t="n">
        <v>25</v>
      </c>
      <c r="P2595" t="n">
        <v>0.007202</v>
      </c>
      <c r="Q2595" t="n">
        <v>80</v>
      </c>
      <c r="R2595" t="n">
        <v>0.07086000000000001</v>
      </c>
      <c r="S2595">
        <f>IMAGE("https://mitra.stanford.edu/kundaje/oak/projects/neuro-variants/variant_position/credible/roussos_2024/variant_figures/roussos_2024.childhood.Astrocyte/rs9311454_count_position.png",4,220,900)</f>
        <v/>
      </c>
      <c r="T2595">
        <f>IMAGE("https://mitra.stanford.edu/kundaje/oak/projects/neuro-variants/variant_position/credible/roussos_2024/variant_figures/roussos_2024.childhood.Astrocyte/rs9311454_profile_position.png",4,220,900)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0.00483629264</v>
      </c>
      <c r="G2596" t="n">
        <v>0.6047659866374154</v>
      </c>
      <c r="H2596" t="n">
        <v>0.0190259336942287</v>
      </c>
      <c r="I2596" t="n">
        <v>0.1480416155539642</v>
      </c>
      <c r="J2596" t="n">
        <v>0.1992496927785791</v>
      </c>
      <c r="K2596" t="n">
        <v>0.2061493474440921</v>
      </c>
      <c r="L2596" t="b">
        <v>0</v>
      </c>
      <c r="M2596" t="b">
        <v>0</v>
      </c>
      <c r="N2596" t="inlineStr">
        <is>
          <t>alt</t>
        </is>
      </c>
      <c r="O2596" t="n">
        <v>100</v>
      </c>
      <c r="P2596" t="n">
        <v>0.0311</v>
      </c>
      <c r="Q2596" t="n">
        <v>100</v>
      </c>
      <c r="R2596" t="n">
        <v>0.2908</v>
      </c>
      <c r="S2596">
        <f>IMAGE("https://mitra.stanford.edu/kundaje/oak/projects/neuro-variants/variant_position/credible/roussos_2024/variant_figures/roussos_2024.childhood.Astrocyte/rs80049775_count_position.png",4,220,900)</f>
        <v/>
      </c>
      <c r="T2596">
        <f>IMAGE("https://mitra.stanford.edu/kundaje/oak/projects/neuro-variants/variant_position/credible/roussos_2024/variant_figures/roussos_2024.childhood.Astrocyte/rs80049775_profile_position.png",4,220,900)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0.21953425</v>
      </c>
      <c r="G2597" t="n">
        <v>0.0127141690977648</v>
      </c>
      <c r="H2597" t="n">
        <v>0.0265181339179385</v>
      </c>
      <c r="I2597" t="n">
        <v>0.0472700201967614</v>
      </c>
      <c r="J2597" t="n">
        <v>0.3548166975796294</v>
      </c>
      <c r="K2597" t="n">
        <v>0.1050661238729178</v>
      </c>
      <c r="L2597" t="b">
        <v>1</v>
      </c>
      <c r="M2597" t="b">
        <v>0</v>
      </c>
      <c r="N2597" t="inlineStr">
        <is>
          <t>alt</t>
        </is>
      </c>
      <c r="O2597" t="n">
        <v>-90</v>
      </c>
      <c r="P2597" t="n">
        <v>0.008026</v>
      </c>
      <c r="Q2597" t="n">
        <v>-25</v>
      </c>
      <c r="R2597" t="n">
        <v>0.1216</v>
      </c>
      <c r="S2597">
        <f>IMAGE("https://mitra.stanford.edu/kundaje/oak/projects/neuro-variants/variant_position/credible/roussos_2024/variant_figures/roussos_2024.childhood.Astrocyte/rs17051014_count_position.png",4,220,900)</f>
        <v/>
      </c>
      <c r="T2597">
        <f>IMAGE("https://mitra.stanford.edu/kundaje/oak/projects/neuro-variants/variant_position/credible/roussos_2024/variant_figures/roussos_2024.childhood.Astrocyte/rs17051014_profile_position.png",4,220,900)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0.0163098868</v>
      </c>
      <c r="G2598" t="n">
        <v>0.5782726458658302</v>
      </c>
      <c r="H2598" t="n">
        <v>0.0256219294222063</v>
      </c>
      <c r="I2598" t="n">
        <v>0.0542948006873135</v>
      </c>
      <c r="J2598" t="n">
        <v>0.0014471846305327</v>
      </c>
      <c r="K2598" t="n">
        <v>0.895345373703873</v>
      </c>
      <c r="L2598" t="b">
        <v>0</v>
      </c>
      <c r="M2598" t="b">
        <v>0</v>
      </c>
      <c r="N2598" t="inlineStr">
        <is>
          <t>alt</t>
        </is>
      </c>
      <c r="O2598" t="n">
        <v>0</v>
      </c>
      <c r="P2598" t="n">
        <v>0</v>
      </c>
      <c r="Q2598" t="n">
        <v>-60</v>
      </c>
      <c r="R2598" t="n">
        <v>0.05444</v>
      </c>
      <c r="S2598">
        <f>IMAGE("https://mitra.stanford.edu/kundaje/oak/projects/neuro-variants/variant_position/credible/roussos_2024/variant_figures/roussos_2024.childhood.Astrocyte/rs2028216_count_position.png",4,220,900)</f>
        <v/>
      </c>
      <c r="T2598">
        <f>IMAGE("https://mitra.stanford.edu/kundaje/oak/projects/neuro-variants/variant_position/credible/roussos_2024/variant_figures/roussos_2024.childhood.Astrocyte/rs2028216_profile_position.png",4,220,900)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0.0139592112</v>
      </c>
      <c r="G2599" t="n">
        <v>0.6269732158154987</v>
      </c>
      <c r="H2599" t="n">
        <v>0.0356361619617344</v>
      </c>
      <c r="I2599" t="n">
        <v>0.0151881777333006</v>
      </c>
      <c r="J2599" t="n">
        <v>0.0091960339813606</v>
      </c>
      <c r="K2599" t="n">
        <v>0.7076226009836108</v>
      </c>
      <c r="L2599" t="b">
        <v>0</v>
      </c>
      <c r="M2599" t="b">
        <v>0</v>
      </c>
      <c r="N2599" t="inlineStr">
        <is>
          <t>alt</t>
        </is>
      </c>
      <c r="O2599" t="n">
        <v>-85</v>
      </c>
      <c r="P2599" t="n">
        <v>0.04126</v>
      </c>
      <c r="Q2599" t="n">
        <v>-70</v>
      </c>
      <c r="R2599" t="n">
        <v>0.1418</v>
      </c>
      <c r="S2599">
        <f>IMAGE("https://mitra.stanford.edu/kundaje/oak/projects/neuro-variants/variant_position/credible/roussos_2024/variant_figures/roussos_2024.childhood.Astrocyte/rs12488461_count_position.png",4,220,900)</f>
        <v/>
      </c>
      <c r="T2599">
        <f>IMAGE("https://mitra.stanford.edu/kundaje/oak/projects/neuro-variants/variant_position/credible/roussos_2024/variant_figures/roussos_2024.childhood.Astrocyte/rs12488461_profile_position.png",4,220,900)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-0.0335477616</v>
      </c>
      <c r="G2600" t="n">
        <v>0.3484376305794655</v>
      </c>
      <c r="H2600" t="n">
        <v>0.0108290135938481</v>
      </c>
      <c r="I2600" t="n">
        <v>0.6346004021229024</v>
      </c>
      <c r="J2600" t="n">
        <v>0.2044423072519521</v>
      </c>
      <c r="K2600" t="n">
        <v>0.1994825879026772</v>
      </c>
      <c r="L2600" t="b">
        <v>0</v>
      </c>
      <c r="M2600" t="b">
        <v>0</v>
      </c>
      <c r="N2600" t="inlineStr">
        <is>
          <t>ref</t>
        </is>
      </c>
      <c r="O2600" t="n">
        <v>90</v>
      </c>
      <c r="P2600" t="n">
        <v>0.00673</v>
      </c>
      <c r="Q2600" t="n">
        <v>-100</v>
      </c>
      <c r="R2600" t="n">
        <v>0.08215</v>
      </c>
      <c r="S2600">
        <f>IMAGE("https://mitra.stanford.edu/kundaje/oak/projects/neuro-variants/variant_position/credible/roussos_2024/variant_figures/roussos_2024.childhood.Astrocyte/rs35526119_count_position.png",4,220,900)</f>
        <v/>
      </c>
      <c r="T2600">
        <f>IMAGE("https://mitra.stanford.edu/kundaje/oak/projects/neuro-variants/variant_position/credible/roussos_2024/variant_figures/roussos_2024.childhood.Astrocyte/rs35526119_profile_position.png",4,220,900)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0.01579104662</v>
      </c>
      <c r="G2601" t="n">
        <v>0.5835713512057942</v>
      </c>
      <c r="H2601" t="n">
        <v>0.0098146214818491</v>
      </c>
      <c r="I2601" t="n">
        <v>0.7345199481210469</v>
      </c>
      <c r="J2601" t="n">
        <v>0.002632563180753</v>
      </c>
      <c r="K2601" t="n">
        <v>0.8440893077553785</v>
      </c>
      <c r="L2601" t="b">
        <v>0</v>
      </c>
      <c r="M2601" t="b">
        <v>0</v>
      </c>
      <c r="N2601" t="inlineStr">
        <is>
          <t>alt</t>
        </is>
      </c>
      <c r="O2601" t="n">
        <v>-95</v>
      </c>
      <c r="P2601" t="n">
        <v>0.00521</v>
      </c>
      <c r="Q2601" t="n">
        <v>60</v>
      </c>
      <c r="R2601" t="n">
        <v>0.08887</v>
      </c>
      <c r="S2601">
        <f>IMAGE("https://mitra.stanford.edu/kundaje/oak/projects/neuro-variants/variant_position/credible/roussos_2024/variant_figures/roussos_2024.childhood.Astrocyte/rs2710323_count_position.png",4,220,900)</f>
        <v/>
      </c>
      <c r="T2601">
        <f>IMAGE("https://mitra.stanford.edu/kundaje/oak/projects/neuro-variants/variant_position/credible/roussos_2024/variant_figures/roussos_2024.childhood.Astrocyte/rs2710323_profile_position.png",4,220,900)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-0.12004733214</v>
      </c>
      <c r="G2602" t="n">
        <v>0.07694541398544109</v>
      </c>
      <c r="H2602" t="n">
        <v>0.034480283146336</v>
      </c>
      <c r="I2602" t="n">
        <v>0.0194433226054297</v>
      </c>
      <c r="J2602" t="n">
        <v>0.3344614656560799</v>
      </c>
      <c r="K2602" t="n">
        <v>0.1150191057632828</v>
      </c>
      <c r="L2602" t="b">
        <v>1</v>
      </c>
      <c r="M2602" t="b">
        <v>0</v>
      </c>
      <c r="N2602" t="inlineStr">
        <is>
          <t>ref</t>
        </is>
      </c>
      <c r="O2602" t="n">
        <v>-25</v>
      </c>
      <c r="P2602" t="n">
        <v>0.00598</v>
      </c>
      <c r="Q2602" t="n">
        <v>-60</v>
      </c>
      <c r="R2602" t="n">
        <v>0.1318</v>
      </c>
      <c r="S2602">
        <f>IMAGE("https://mitra.stanford.edu/kundaje/oak/projects/neuro-variants/variant_position/credible/roussos_2024/variant_figures/roussos_2024.childhood.Astrocyte/rs2535646_count_position.png",4,220,900)</f>
        <v/>
      </c>
      <c r="T2602">
        <f>IMAGE("https://mitra.stanford.edu/kundaje/oak/projects/neuro-variants/variant_position/credible/roussos_2024/variant_figures/roussos_2024.childhood.Astrocyte/rs2535646_profile_position.png",4,220,900)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-0.0078475725</v>
      </c>
      <c r="G2603" t="n">
        <v>0.5278870529788063</v>
      </c>
      <c r="H2603" t="n">
        <v>0.008676076491893199</v>
      </c>
      <c r="I2603" t="n">
        <v>0.8098483949376218</v>
      </c>
      <c r="J2603" t="n">
        <v>0.488140871516567</v>
      </c>
      <c r="K2603" t="n">
        <v>0.0580196147153973</v>
      </c>
      <c r="L2603" t="b">
        <v>0</v>
      </c>
      <c r="M2603" t="b">
        <v>0</v>
      </c>
      <c r="N2603" t="inlineStr">
        <is>
          <t>ref</t>
        </is>
      </c>
      <c r="O2603" t="n">
        <v>100</v>
      </c>
      <c r="P2603" t="n">
        <v>0.003185</v>
      </c>
      <c r="Q2603" t="n">
        <v>-100</v>
      </c>
      <c r="R2603" t="n">
        <v>0.2415</v>
      </c>
      <c r="S2603">
        <f>IMAGE("https://mitra.stanford.edu/kundaje/oak/projects/neuro-variants/variant_position/credible/roussos_2024/variant_figures/roussos_2024.childhood.Astrocyte/rs62253582_count_position.png",4,220,900)</f>
        <v/>
      </c>
      <c r="T2603">
        <f>IMAGE("https://mitra.stanford.edu/kundaje/oak/projects/neuro-variants/variant_position/credible/roussos_2024/variant_figures/roussos_2024.childhood.Astrocyte/rs62253582_profile_position.png",4,220,900)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-0.0348188679999999</v>
      </c>
      <c r="G2604" t="n">
        <v>0.3315848041156745</v>
      </c>
      <c r="H2604" t="n">
        <v>0.007900141904667</v>
      </c>
      <c r="I2604" t="n">
        <v>0.904817571866014</v>
      </c>
      <c r="J2604" t="n">
        <v>0.4856937861128284</v>
      </c>
      <c r="K2604" t="n">
        <v>0.0586501428570069</v>
      </c>
      <c r="L2604" t="b">
        <v>0</v>
      </c>
      <c r="M2604" t="b">
        <v>0</v>
      </c>
      <c r="N2604" t="inlineStr">
        <is>
          <t>ref</t>
        </is>
      </c>
      <c r="O2604" t="n">
        <v>100</v>
      </c>
      <c r="P2604" t="n">
        <v>0.003273</v>
      </c>
      <c r="Q2604" t="n">
        <v>-100</v>
      </c>
      <c r="R2604" t="n">
        <v>0.23</v>
      </c>
      <c r="S2604">
        <f>IMAGE("https://mitra.stanford.edu/kundaje/oak/projects/neuro-variants/variant_position/credible/roussos_2024/variant_figures/roussos_2024.childhood.Astrocyte/rs62253583_count_position.png",4,220,900)</f>
        <v/>
      </c>
      <c r="T2604">
        <f>IMAGE("https://mitra.stanford.edu/kundaje/oak/projects/neuro-variants/variant_position/credible/roussos_2024/variant_figures/roussos_2024.childhood.Astrocyte/rs62253583_profile_position.png",4,220,900)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-0.01637142656</v>
      </c>
      <c r="G2605" t="n">
        <v>0.612983331490886</v>
      </c>
      <c r="H2605" t="n">
        <v>0.0172968440935816</v>
      </c>
      <c r="I2605" t="n">
        <v>0.1948519533483663</v>
      </c>
      <c r="J2605" t="n">
        <v>0.0023654141192095</v>
      </c>
      <c r="K2605" t="n">
        <v>0.8477909773599431</v>
      </c>
      <c r="L2605" t="b">
        <v>0</v>
      </c>
      <c r="M2605" t="b">
        <v>0</v>
      </c>
      <c r="N2605" t="inlineStr">
        <is>
          <t>ref</t>
        </is>
      </c>
      <c r="O2605" t="n">
        <v>75</v>
      </c>
      <c r="P2605" t="n">
        <v>0.00984</v>
      </c>
      <c r="Q2605" t="n">
        <v>-80</v>
      </c>
      <c r="R2605" t="n">
        <v>0.166</v>
      </c>
      <c r="S2605">
        <f>IMAGE("https://mitra.stanford.edu/kundaje/oak/projects/neuro-variants/variant_position/credible/roussos_2024/variant_figures/roussos_2024.childhood.Astrocyte/rs2465101_count_position.png",4,220,900)</f>
        <v/>
      </c>
      <c r="T2605">
        <f>IMAGE("https://mitra.stanford.edu/kundaje/oak/projects/neuro-variants/variant_position/credible/roussos_2024/variant_figures/roussos_2024.childhood.Astrocyte/rs2465101_profile_position.png",4,220,900)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-0.0027406177</v>
      </c>
      <c r="G2606" t="n">
        <v>0.8037491581953633</v>
      </c>
      <c r="H2606" t="n">
        <v>0.011149167223798</v>
      </c>
      <c r="I2606" t="n">
        <v>0.5984497882130034</v>
      </c>
      <c r="J2606" t="n">
        <v>0.0025760802363123</v>
      </c>
      <c r="K2606" t="n">
        <v>0.8391536109650252</v>
      </c>
      <c r="L2606" t="b">
        <v>0</v>
      </c>
      <c r="M2606" t="b">
        <v>0</v>
      </c>
      <c r="N2606" t="inlineStr">
        <is>
          <t>ref</t>
        </is>
      </c>
      <c r="O2606" t="n">
        <v>45</v>
      </c>
      <c r="P2606" t="n">
        <v>0.01356</v>
      </c>
      <c r="Q2606" t="n">
        <v>-5</v>
      </c>
      <c r="R2606" t="n">
        <v>0.0005493</v>
      </c>
      <c r="S2606">
        <f>IMAGE("https://mitra.stanford.edu/kundaje/oak/projects/neuro-variants/variant_position/credible/roussos_2024/variant_figures/roussos_2024.childhood.Astrocyte/rs6801235_count_position.png",4,220,900)</f>
        <v/>
      </c>
      <c r="T2606">
        <f>IMAGE("https://mitra.stanford.edu/kundaje/oak/projects/neuro-variants/variant_position/credible/roussos_2024/variant_figures/roussos_2024.childhood.Astrocyte/rs6801235_profile_position.png",4,220,900)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-0.0305791607999999</v>
      </c>
      <c r="G2607" t="n">
        <v>0.3808823562279368</v>
      </c>
      <c r="H2607" t="n">
        <v>0.0123047312779972</v>
      </c>
      <c r="I2607" t="n">
        <v>0.4806325981299642</v>
      </c>
      <c r="J2607" t="n">
        <v>0.002836359750559</v>
      </c>
      <c r="K2607" t="n">
        <v>0.8289305486184552</v>
      </c>
      <c r="L2607" t="b">
        <v>0</v>
      </c>
      <c r="M2607" t="b">
        <v>0</v>
      </c>
      <c r="N2607" t="inlineStr">
        <is>
          <t>ref</t>
        </is>
      </c>
      <c r="O2607" t="n">
        <v>-85</v>
      </c>
      <c r="P2607" t="n">
        <v>0.01465</v>
      </c>
      <c r="Q2607" t="n">
        <v>-65</v>
      </c>
      <c r="R2607" t="n">
        <v>0.052</v>
      </c>
      <c r="S2607">
        <f>IMAGE("https://mitra.stanford.edu/kundaje/oak/projects/neuro-variants/variant_position/credible/roussos_2024/variant_figures/roussos_2024.childhood.Astrocyte/rs2581816_count_position.png",4,220,900)</f>
        <v/>
      </c>
      <c r="T2607">
        <f>IMAGE("https://mitra.stanford.edu/kundaje/oak/projects/neuro-variants/variant_position/credible/roussos_2024/variant_figures/roussos_2024.childhood.Astrocyte/rs2581816_profile_position.png",4,220,900)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-0.077192173</v>
      </c>
      <c r="G2608" t="n">
        <v>0.1644226240061574</v>
      </c>
      <c r="H2608" t="n">
        <v>0.0103837758396272</v>
      </c>
      <c r="I2608" t="n">
        <v>0.5995029444527514</v>
      </c>
      <c r="J2608" t="n">
        <v>0.0100577805255966</v>
      </c>
      <c r="K2608" t="n">
        <v>0.7002955220292231</v>
      </c>
      <c r="L2608" t="b">
        <v>0</v>
      </c>
      <c r="M2608" t="b">
        <v>0</v>
      </c>
      <c r="N2608" t="inlineStr">
        <is>
          <t>ref</t>
        </is>
      </c>
      <c r="O2608" t="n">
        <v>-100</v>
      </c>
      <c r="P2608" t="n">
        <v>0.01331</v>
      </c>
      <c r="Q2608" t="n">
        <v>100</v>
      </c>
      <c r="R2608" t="n">
        <v>0.06696000000000001</v>
      </c>
      <c r="S2608">
        <f>IMAGE("https://mitra.stanford.edu/kundaje/oak/projects/neuro-variants/variant_position/credible/roussos_2024/variant_figures/roussos_2024.childhood.Astrocyte/rs6771610_count_position.png",4,220,900)</f>
        <v/>
      </c>
      <c r="T2608">
        <f>IMAGE("https://mitra.stanford.edu/kundaje/oak/projects/neuro-variants/variant_position/credible/roussos_2024/variant_figures/roussos_2024.childhood.Astrocyte/rs6771610_profile_position.png",4,220,900)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0.046029085</v>
      </c>
      <c r="G2609" t="n">
        <v>0.2374135655738553</v>
      </c>
      <c r="H2609" t="n">
        <v>0.0147530000651248</v>
      </c>
      <c r="I2609" t="n">
        <v>0.3114097018088982</v>
      </c>
      <c r="J2609" t="n">
        <v>0.1246311434743116</v>
      </c>
      <c r="K2609" t="n">
        <v>0.2958028995405296</v>
      </c>
      <c r="L2609" t="b">
        <v>0</v>
      </c>
      <c r="M2609" t="b">
        <v>0</v>
      </c>
      <c r="N2609" t="inlineStr">
        <is>
          <t>alt</t>
        </is>
      </c>
      <c r="O2609" t="n">
        <v>40</v>
      </c>
      <c r="P2609" t="n">
        <v>0.001919</v>
      </c>
      <c r="Q2609" t="n">
        <v>55</v>
      </c>
      <c r="R2609" t="n">
        <v>0.06006</v>
      </c>
      <c r="S2609">
        <f>IMAGE("https://mitra.stanford.edu/kundaje/oak/projects/neuro-variants/variant_position/credible/roussos_2024/variant_figures/roussos_2024.childhood.Astrocyte/rs2035450_count_position.png",4,220,900)</f>
        <v/>
      </c>
      <c r="T2609">
        <f>IMAGE("https://mitra.stanford.edu/kundaje/oak/projects/neuro-variants/variant_position/credible/roussos_2024/variant_figures/roussos_2024.childhood.Astrocyte/rs2035450_profile_position.png",4,220,900)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0.1018752611999999</v>
      </c>
      <c r="G2610" t="n">
        <v>0.0681661918055758</v>
      </c>
      <c r="H2610" t="n">
        <v>0.0210604471577267</v>
      </c>
      <c r="I2610" t="n">
        <v>0.1075789207319568</v>
      </c>
      <c r="J2610" t="n">
        <v>0.4627960584064177</v>
      </c>
      <c r="K2610" t="n">
        <v>0.0659457331924463</v>
      </c>
      <c r="L2610" t="b">
        <v>0</v>
      </c>
      <c r="M2610" t="b">
        <v>0</v>
      </c>
      <c r="N2610" t="inlineStr">
        <is>
          <t>alt</t>
        </is>
      </c>
      <c r="O2610" t="n">
        <v>-65</v>
      </c>
      <c r="P2610" t="n">
        <v>0.003588</v>
      </c>
      <c r="Q2610" t="n">
        <v>-65</v>
      </c>
      <c r="R2610" t="n">
        <v>0.09717000000000001</v>
      </c>
      <c r="S2610">
        <f>IMAGE("https://mitra.stanford.edu/kundaje/oak/projects/neuro-variants/variant_position/credible/roussos_2024/variant_figures/roussos_2024.childhood.Astrocyte/rs3773744_count_position.png",4,220,900)</f>
        <v/>
      </c>
      <c r="T2610">
        <f>IMAGE("https://mitra.stanford.edu/kundaje/oak/projects/neuro-variants/variant_position/credible/roussos_2024/variant_figures/roussos_2024.childhood.Astrocyte/rs3773744_profile_position.png",4,220,900)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-0.2794716339999999</v>
      </c>
      <c r="G2611" t="n">
        <v>0.008328555346787</v>
      </c>
      <c r="H2611" t="n">
        <v>0.0457331280554649</v>
      </c>
      <c r="I2611" t="n">
        <v>0.0072583572430745</v>
      </c>
      <c r="J2611" t="n">
        <v>0.3310389045361911</v>
      </c>
      <c r="K2611" t="n">
        <v>0.1167508682877008</v>
      </c>
      <c r="L2611" t="b">
        <v>1</v>
      </c>
      <c r="M2611" t="b">
        <v>1</v>
      </c>
      <c r="N2611" t="inlineStr">
        <is>
          <t>ref</t>
        </is>
      </c>
      <c r="O2611" t="n">
        <v>75</v>
      </c>
      <c r="P2611" t="n">
        <v>0.00657</v>
      </c>
      <c r="Q2611" t="n">
        <v>100</v>
      </c>
      <c r="R2611" t="n">
        <v>0.0862</v>
      </c>
      <c r="S2611">
        <f>IMAGE("https://mitra.stanford.edu/kundaje/oak/projects/neuro-variants/variant_position/credible/roussos_2024/variant_figures/roussos_2024.childhood.Astrocyte/rs12490667_count_position.png",4,220,900)</f>
        <v/>
      </c>
      <c r="T2611">
        <f>IMAGE("https://mitra.stanford.edu/kundaje/oak/projects/neuro-variants/variant_position/credible/roussos_2024/variant_figures/roussos_2024.childhood.Astrocyte/rs12490667_profile_position.png",4,220,900)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0.00647838836</v>
      </c>
      <c r="G2612" t="n">
        <v>0.6619948507004226</v>
      </c>
      <c r="H2612" t="n">
        <v>0.008989051775046501</v>
      </c>
      <c r="I2612" t="n">
        <v>0.8129293548697349</v>
      </c>
      <c r="J2612" t="n">
        <v>0.0825162388465266</v>
      </c>
      <c r="K2612" t="n">
        <v>0.4027020619875806</v>
      </c>
      <c r="L2612" t="b">
        <v>0</v>
      </c>
      <c r="M2612" t="b">
        <v>0</v>
      </c>
      <c r="N2612" t="inlineStr">
        <is>
          <t>alt</t>
        </is>
      </c>
      <c r="O2612" t="n">
        <v>-45</v>
      </c>
      <c r="P2612" t="n">
        <v>0.003284</v>
      </c>
      <c r="Q2612" t="n">
        <v>85</v>
      </c>
      <c r="R2612" t="n">
        <v>0.0448</v>
      </c>
      <c r="S2612">
        <f>IMAGE("https://mitra.stanford.edu/kundaje/oak/projects/neuro-variants/variant_position/credible/roussos_2024/variant_figures/roussos_2024.childhood.Astrocyte/rs2358740_count_position.png",4,220,900)</f>
        <v/>
      </c>
      <c r="T2612">
        <f>IMAGE("https://mitra.stanford.edu/kundaje/oak/projects/neuro-variants/variant_position/credible/roussos_2024/variant_figures/roussos_2024.childhood.Astrocyte/rs2358740_profile_position.png",4,220,900)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0.0369964868</v>
      </c>
      <c r="G2613" t="n">
        <v>0.3058677404329451</v>
      </c>
      <c r="H2613" t="n">
        <v>0.0107126351986308</v>
      </c>
      <c r="I2613" t="n">
        <v>0.6474424299857509</v>
      </c>
      <c r="J2613" t="n">
        <v>0.0001015166433865</v>
      </c>
      <c r="K2613" t="n">
        <v>0.9860411231818308</v>
      </c>
      <c r="L2613" t="b">
        <v>0</v>
      </c>
      <c r="M2613" t="b">
        <v>0</v>
      </c>
      <c r="N2613" t="inlineStr">
        <is>
          <t>alt</t>
        </is>
      </c>
      <c r="O2613" t="n">
        <v>100</v>
      </c>
      <c r="P2613" t="n">
        <v>0.00405</v>
      </c>
      <c r="Q2613" t="n">
        <v>-15</v>
      </c>
      <c r="R2613" t="n">
        <v>0.003845</v>
      </c>
      <c r="S2613">
        <f>IMAGE("https://mitra.stanford.edu/kundaje/oak/projects/neuro-variants/variant_position/credible/roussos_2024/variant_figures/roussos_2024.childhood.Astrocyte/rs9799015_count_position.png",4,220,900)</f>
        <v/>
      </c>
      <c r="T2613">
        <f>IMAGE("https://mitra.stanford.edu/kundaje/oak/projects/neuro-variants/variant_position/credible/roussos_2024/variant_figures/roussos_2024.childhood.Astrocyte/rs9799015_profile_position.png",4,220,900)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0.01492461477</v>
      </c>
      <c r="G2614" t="n">
        <v>0.6115740889005234</v>
      </c>
      <c r="H2614" t="n">
        <v>0.0610246877665084</v>
      </c>
      <c r="I2614" t="n">
        <v>0.0019288003140736</v>
      </c>
      <c r="J2614" t="n">
        <v>0.0168593956324944</v>
      </c>
      <c r="K2614" t="n">
        <v>0.6249509158245775</v>
      </c>
      <c r="L2614" t="b">
        <v>1</v>
      </c>
      <c r="M2614" t="b">
        <v>0</v>
      </c>
      <c r="N2614" t="inlineStr">
        <is>
          <t>alt</t>
        </is>
      </c>
      <c r="O2614" t="n">
        <v>-35</v>
      </c>
      <c r="P2614" t="n">
        <v>0.00461</v>
      </c>
      <c r="Q2614" t="n">
        <v>60</v>
      </c>
      <c r="R2614" t="n">
        <v>0.1519</v>
      </c>
      <c r="S2614">
        <f>IMAGE("https://mitra.stanford.edu/kundaje/oak/projects/neuro-variants/variant_position/credible/roussos_2024/variant_figures/roussos_2024.childhood.Astrocyte/rs11715213_count_position.png",4,220,900)</f>
        <v/>
      </c>
      <c r="T2614">
        <f>IMAGE("https://mitra.stanford.edu/kundaje/oak/projects/neuro-variants/variant_position/credible/roussos_2024/variant_figures/roussos_2024.childhood.Astrocyte/rs11715213_profile_position.png",4,220,900)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0.0121323481999999</v>
      </c>
      <c r="G2615" t="n">
        <v>0.4715496673325098</v>
      </c>
      <c r="H2615" t="n">
        <v>0.0169067277755349</v>
      </c>
      <c r="I2615" t="n">
        <v>0.2126538033932672</v>
      </c>
      <c r="J2615" t="n">
        <v>0.0663651698686389</v>
      </c>
      <c r="K2615" t="n">
        <v>0.3940382054381754</v>
      </c>
      <c r="L2615" t="b">
        <v>0</v>
      </c>
      <c r="M2615" t="b">
        <v>0</v>
      </c>
      <c r="N2615" t="inlineStr">
        <is>
          <t>alt</t>
        </is>
      </c>
      <c r="O2615" t="n">
        <v>75</v>
      </c>
      <c r="P2615" t="n">
        <v>0.02466</v>
      </c>
      <c r="Q2615" t="n">
        <v>80</v>
      </c>
      <c r="R2615" t="n">
        <v>0.07385</v>
      </c>
      <c r="S2615">
        <f>IMAGE("https://mitra.stanford.edu/kundaje/oak/projects/neuro-variants/variant_position/credible/roussos_2024/variant_figures/roussos_2024.childhood.Astrocyte/rs998411_count_position.png",4,220,900)</f>
        <v/>
      </c>
      <c r="T2615">
        <f>IMAGE("https://mitra.stanford.edu/kundaje/oak/projects/neuro-variants/variant_position/credible/roussos_2024/variant_figures/roussos_2024.childhood.Astrocyte/rs998411_profile_position.png",4,220,900)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0.0979505751999999</v>
      </c>
      <c r="G2616" t="n">
        <v>0.0765737582256797</v>
      </c>
      <c r="H2616" t="n">
        <v>0.0199387785461667</v>
      </c>
      <c r="I2616" t="n">
        <v>0.1358713753441509</v>
      </c>
      <c r="J2616" t="n">
        <v>0.157715646538893</v>
      </c>
      <c r="K2616" t="n">
        <v>0.2457673901701099</v>
      </c>
      <c r="L2616" t="b">
        <v>0</v>
      </c>
      <c r="M2616" t="b">
        <v>0</v>
      </c>
      <c r="N2616" t="inlineStr">
        <is>
          <t>alt</t>
        </is>
      </c>
      <c r="O2616" t="n">
        <v>90</v>
      </c>
      <c r="P2616" t="n">
        <v>0.0645</v>
      </c>
      <c r="Q2616" t="n">
        <v>90</v>
      </c>
      <c r="R2616" t="n">
        <v>0.1713</v>
      </c>
      <c r="S2616">
        <f>IMAGE("https://mitra.stanford.edu/kundaje/oak/projects/neuro-variants/variant_position/credible/roussos_2024/variant_figures/roussos_2024.childhood.Astrocyte/rs10049216_count_position.png",4,220,900)</f>
        <v/>
      </c>
      <c r="T2616">
        <f>IMAGE("https://mitra.stanford.edu/kundaje/oak/projects/neuro-variants/variant_position/credible/roussos_2024/variant_figures/roussos_2024.childhood.Astrocyte/rs10049216_profile_position.png",4,220,900)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-0.023682691</v>
      </c>
      <c r="G2617" t="n">
        <v>0.4834019072107697</v>
      </c>
      <c r="H2617" t="n">
        <v>0.0082816127545481</v>
      </c>
      <c r="I2617" t="n">
        <v>0.830068651449174</v>
      </c>
      <c r="J2617" t="n">
        <v>0.0050743056032606</v>
      </c>
      <c r="K2617" t="n">
        <v>0.7756599522030831</v>
      </c>
      <c r="L2617" t="b">
        <v>0</v>
      </c>
      <c r="M2617" t="b">
        <v>0</v>
      </c>
      <c r="N2617" t="inlineStr">
        <is>
          <t>ref</t>
        </is>
      </c>
      <c r="O2617" t="n">
        <v>-100</v>
      </c>
      <c r="P2617" t="n">
        <v>0.00489</v>
      </c>
      <c r="Q2617" t="n">
        <v>-40</v>
      </c>
      <c r="R2617" t="n">
        <v>0.07056</v>
      </c>
      <c r="S2617">
        <f>IMAGE("https://mitra.stanford.edu/kundaje/oak/projects/neuro-variants/variant_position/credible/roussos_2024/variant_figures/roussos_2024.childhood.Astrocyte/rs4679526_count_position.png",4,220,900)</f>
        <v/>
      </c>
      <c r="T2617">
        <f>IMAGE("https://mitra.stanford.edu/kundaje/oak/projects/neuro-variants/variant_position/credible/roussos_2024/variant_figures/roussos_2024.childhood.Astrocyte/rs4679526_profile_position.png",4,220,900)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0.016649755</v>
      </c>
      <c r="G2618" t="n">
        <v>0.5190658841766552</v>
      </c>
      <c r="H2618" t="n">
        <v>0.0248817000094917</v>
      </c>
      <c r="I2618" t="n">
        <v>0.060738128684342</v>
      </c>
      <c r="J2618" t="n">
        <v>0.0688183615366413</v>
      </c>
      <c r="K2618" t="n">
        <v>0.3900169739781619</v>
      </c>
      <c r="L2618" t="b">
        <v>0</v>
      </c>
      <c r="M2618" t="b">
        <v>0</v>
      </c>
      <c r="N2618" t="inlineStr">
        <is>
          <t>alt</t>
        </is>
      </c>
      <c r="O2618" t="n">
        <v>-100</v>
      </c>
      <c r="P2618" t="n">
        <v>0.09705</v>
      </c>
      <c r="Q2618" t="n">
        <v>-100</v>
      </c>
      <c r="R2618" t="n">
        <v>0.3806</v>
      </c>
      <c r="S2618">
        <f>IMAGE("https://mitra.stanford.edu/kundaje/oak/projects/neuro-variants/variant_position/credible/roussos_2024/variant_figures/roussos_2024.childhood.Astrocyte/rs1882900_count_position.png",4,220,900)</f>
        <v/>
      </c>
      <c r="T2618">
        <f>IMAGE("https://mitra.stanford.edu/kundaje/oak/projects/neuro-variants/variant_position/credible/roussos_2024/variant_figures/roussos_2024.childhood.Astrocyte/rs1882900_profile_position.png",4,220,900)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0.09524805159999999</v>
      </c>
      <c r="G2619" t="n">
        <v>0.0831208084538884</v>
      </c>
      <c r="H2619" t="n">
        <v>0.0140164364928512</v>
      </c>
      <c r="I2619" t="n">
        <v>0.3687344138363992</v>
      </c>
      <c r="J2619" t="n">
        <v>0.1130124491462678</v>
      </c>
      <c r="K2619" t="n">
        <v>0.3000581413421099</v>
      </c>
      <c r="L2619" t="b">
        <v>0</v>
      </c>
      <c r="M2619" t="b">
        <v>0</v>
      </c>
      <c r="N2619" t="inlineStr">
        <is>
          <t>alt</t>
        </is>
      </c>
      <c r="O2619" t="n">
        <v>-15</v>
      </c>
      <c r="P2619" t="n">
        <v>0.003086</v>
      </c>
      <c r="Q2619" t="n">
        <v>100</v>
      </c>
      <c r="R2619" t="n">
        <v>0.2715</v>
      </c>
      <c r="S2619">
        <f>IMAGE("https://mitra.stanford.edu/kundaje/oak/projects/neuro-variants/variant_position/credible/roussos_2024/variant_figures/roussos_2024.childhood.Astrocyte/rs6787076_count_position.png",4,220,900)</f>
        <v/>
      </c>
      <c r="T2619">
        <f>IMAGE("https://mitra.stanford.edu/kundaje/oak/projects/neuro-variants/variant_position/credible/roussos_2024/variant_figures/roussos_2024.childhood.Astrocyte/rs6787076_profile_position.png",4,220,900)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0.208775508</v>
      </c>
      <c r="G2620" t="n">
        <v>0.0143049454563822</v>
      </c>
      <c r="H2620" t="n">
        <v>0.0221238655729801</v>
      </c>
      <c r="I2620" t="n">
        <v>0.09296450652177229</v>
      </c>
      <c r="J2620" t="n">
        <v>0.1139047270118232</v>
      </c>
      <c r="K2620" t="n">
        <v>0.3007316891210894</v>
      </c>
      <c r="L2620" t="b">
        <v>1</v>
      </c>
      <c r="M2620" t="b">
        <v>0</v>
      </c>
      <c r="N2620" t="inlineStr">
        <is>
          <t>alt</t>
        </is>
      </c>
      <c r="O2620" t="n">
        <v>100</v>
      </c>
      <c r="P2620" t="n">
        <v>0.1349</v>
      </c>
      <c r="Q2620" t="n">
        <v>-20</v>
      </c>
      <c r="R2620" t="n">
        <v>0.06759999999999999</v>
      </c>
      <c r="S2620">
        <f>IMAGE("https://mitra.stanford.edu/kundaje/oak/projects/neuro-variants/variant_position/credible/roussos_2024/variant_figures/roussos_2024.childhood.Astrocyte/rs9847855_count_position.png",4,220,900)</f>
        <v/>
      </c>
      <c r="T2620">
        <f>IMAGE("https://mitra.stanford.edu/kundaje/oak/projects/neuro-variants/variant_position/credible/roussos_2024/variant_figures/roussos_2024.childhood.Astrocyte/rs9847855_profile_position.png",4,220,900)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-0.0482025061999999</v>
      </c>
      <c r="G2621" t="n">
        <v>0.2300200109725471</v>
      </c>
      <c r="H2621" t="n">
        <v>0.0144047631546102</v>
      </c>
      <c r="I2621" t="n">
        <v>0.3328176218824426</v>
      </c>
      <c r="J2621" t="n">
        <v>0.06336470426598879</v>
      </c>
      <c r="K2621" t="n">
        <v>0.4040571858874852</v>
      </c>
      <c r="L2621" t="b">
        <v>0</v>
      </c>
      <c r="M2621" t="b">
        <v>0</v>
      </c>
      <c r="N2621" t="inlineStr">
        <is>
          <t>ref</t>
        </is>
      </c>
      <c r="O2621" t="n">
        <v>-100</v>
      </c>
      <c r="P2621" t="n">
        <v>0.0155</v>
      </c>
      <c r="Q2621" t="n">
        <v>40</v>
      </c>
      <c r="R2621" t="n">
        <v>0.1135</v>
      </c>
      <c r="S2621">
        <f>IMAGE("https://mitra.stanford.edu/kundaje/oak/projects/neuro-variants/variant_position/credible/roussos_2024/variant_figures/roussos_2024.childhood.Astrocyte/rs9848065_count_position.png",4,220,900)</f>
        <v/>
      </c>
      <c r="T2621">
        <f>IMAGE("https://mitra.stanford.edu/kundaje/oak/projects/neuro-variants/variant_position/credible/roussos_2024/variant_figures/roussos_2024.childhood.Astrocyte/rs9848065_profile_position.png",4,220,900)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-0.005588266824</v>
      </c>
      <c r="G2622" t="n">
        <v>0.7624506195282366</v>
      </c>
      <c r="H2622" t="n">
        <v>0.0300342107902797</v>
      </c>
      <c r="I2622" t="n">
        <v>0.0295061301341274</v>
      </c>
      <c r="J2622" t="n">
        <v>0.0062863990596352</v>
      </c>
      <c r="K2622" t="n">
        <v>0.7458546770987549</v>
      </c>
      <c r="L2622" t="b">
        <v>0</v>
      </c>
      <c r="M2622" t="b">
        <v>0</v>
      </c>
      <c r="N2622" t="inlineStr">
        <is>
          <t>ref</t>
        </is>
      </c>
      <c r="O2622" t="n">
        <v>-100</v>
      </c>
      <c r="P2622" t="n">
        <v>0.00537</v>
      </c>
      <c r="Q2622" t="n">
        <v>-25</v>
      </c>
      <c r="R2622" t="n">
        <v>0.04227</v>
      </c>
      <c r="S2622">
        <f>IMAGE("https://mitra.stanford.edu/kundaje/oak/projects/neuro-variants/variant_position/credible/roussos_2024/variant_figures/roussos_2024.childhood.Astrocyte/rs2687176_count_position.png",4,220,900)</f>
        <v/>
      </c>
      <c r="T2622">
        <f>IMAGE("https://mitra.stanford.edu/kundaje/oak/projects/neuro-variants/variant_position/credible/roussos_2024/variant_figures/roussos_2024.childhood.Astrocyte/rs2687176_profile_position.png",4,220,900)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0.09473974</v>
      </c>
      <c r="G2623" t="n">
        <v>0.07711147305665959</v>
      </c>
      <c r="H2623" t="n">
        <v>0.0106140232613166</v>
      </c>
      <c r="I2623" t="n">
        <v>0.6485557274041769</v>
      </c>
      <c r="J2623" t="n">
        <v>0.09386091456572999</v>
      </c>
      <c r="K2623" t="n">
        <v>0.3363777470178716</v>
      </c>
      <c r="L2623" t="b">
        <v>0</v>
      </c>
      <c r="M2623" t="b">
        <v>0</v>
      </c>
      <c r="N2623" t="inlineStr">
        <is>
          <t>alt</t>
        </is>
      </c>
      <c r="O2623" t="n">
        <v>-95</v>
      </c>
      <c r="P2623" t="n">
        <v>0.007767</v>
      </c>
      <c r="Q2623" t="n">
        <v>-100</v>
      </c>
      <c r="R2623" t="n">
        <v>0.2073</v>
      </c>
      <c r="S2623">
        <f>IMAGE("https://mitra.stanford.edu/kundaje/oak/projects/neuro-variants/variant_position/credible/roussos_2024/variant_figures/roussos_2024.childhood.Astrocyte/rs68056303_count_position.png",4,220,900)</f>
        <v/>
      </c>
      <c r="T2623">
        <f>IMAGE("https://mitra.stanford.edu/kundaje/oak/projects/neuro-variants/variant_position/credible/roussos_2024/variant_figures/roussos_2024.childhood.Astrocyte/rs68056303_profile_position.png",4,220,900)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-0.0533935266</v>
      </c>
      <c r="G2624" t="n">
        <v>0.2120040832201517</v>
      </c>
      <c r="H2624" t="n">
        <v>0.019315592802918</v>
      </c>
      <c r="I2624" t="n">
        <v>0.1494491449273682</v>
      </c>
      <c r="J2624" t="n">
        <v>0.1615526703456908</v>
      </c>
      <c r="K2624" t="n">
        <v>0.2473430578934187</v>
      </c>
      <c r="L2624" t="b">
        <v>0</v>
      </c>
      <c r="M2624" t="b">
        <v>0</v>
      </c>
      <c r="N2624" t="inlineStr">
        <is>
          <t>ref</t>
        </is>
      </c>
      <c r="O2624" t="n">
        <v>100</v>
      </c>
      <c r="P2624" t="n">
        <v>0.02681</v>
      </c>
      <c r="Q2624" t="n">
        <v>100</v>
      </c>
      <c r="R2624" t="n">
        <v>0.3032</v>
      </c>
      <c r="S2624">
        <f>IMAGE("https://mitra.stanford.edu/kundaje/oak/projects/neuro-variants/variant_position/credible/roussos_2024/variant_figures/roussos_2024.childhood.Astrocyte/rs9862806_count_position.png",4,220,900)</f>
        <v/>
      </c>
      <c r="T2624">
        <f>IMAGE("https://mitra.stanford.edu/kundaje/oak/projects/neuro-variants/variant_position/credible/roussos_2024/variant_figures/roussos_2024.childhood.Astrocyte/rs9862806_profile_position.png",4,220,900)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-0.157080283</v>
      </c>
      <c r="G2625" t="n">
        <v>0.0300379303895009</v>
      </c>
      <c r="H2625" t="n">
        <v>0.0221036769613793</v>
      </c>
      <c r="I2625" t="n">
        <v>0.09103236302132971</v>
      </c>
      <c r="J2625" t="n">
        <v>0.1634723271736392</v>
      </c>
      <c r="K2625" t="n">
        <v>0.2449572620033996</v>
      </c>
      <c r="L2625" t="b">
        <v>0</v>
      </c>
      <c r="M2625" t="b">
        <v>0</v>
      </c>
      <c r="N2625" t="inlineStr">
        <is>
          <t>ref</t>
        </is>
      </c>
      <c r="O2625" t="n">
        <v>100</v>
      </c>
      <c r="P2625" t="n">
        <v>0.02676</v>
      </c>
      <c r="Q2625" t="n">
        <v>100</v>
      </c>
      <c r="R2625" t="n">
        <v>0.3481</v>
      </c>
      <c r="S2625">
        <f>IMAGE("https://mitra.stanford.edu/kundaje/oak/projects/neuro-variants/variant_position/credible/roussos_2024/variant_figures/roussos_2024.childhood.Astrocyte/rs9862809_count_position.png",4,220,900)</f>
        <v/>
      </c>
      <c r="T2625">
        <f>IMAGE("https://mitra.stanford.edu/kundaje/oak/projects/neuro-variants/variant_position/credible/roussos_2024/variant_figures/roussos_2024.childhood.Astrocyte/rs9862809_profile_position.png",4,220,900)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0.01635924258</v>
      </c>
      <c r="G2626" t="n">
        <v>0.3577692005532724</v>
      </c>
      <c r="H2626" t="n">
        <v>0.0144942062777841</v>
      </c>
      <c r="I2626" t="n">
        <v>0.3336912705608946</v>
      </c>
      <c r="J2626" t="n">
        <v>0.0063291429094822</v>
      </c>
      <c r="K2626" t="n">
        <v>0.7461402883854261</v>
      </c>
      <c r="L2626" t="b">
        <v>0</v>
      </c>
      <c r="M2626" t="b">
        <v>0</v>
      </c>
      <c r="N2626" t="inlineStr">
        <is>
          <t>alt</t>
        </is>
      </c>
      <c r="O2626" t="n">
        <v>-90</v>
      </c>
      <c r="P2626" t="n">
        <v>0.01116</v>
      </c>
      <c r="Q2626" t="n">
        <v>80</v>
      </c>
      <c r="R2626" t="n">
        <v>0.08373999999999999</v>
      </c>
      <c r="S2626">
        <f>IMAGE("https://mitra.stanford.edu/kundaje/oak/projects/neuro-variants/variant_position/credible/roussos_2024/variant_figures/roussos_2024.childhood.Astrocyte/rs2687189_count_position.png",4,220,900)</f>
        <v/>
      </c>
      <c r="T2626">
        <f>IMAGE("https://mitra.stanford.edu/kundaje/oak/projects/neuro-variants/variant_position/credible/roussos_2024/variant_figures/roussos_2024.childhood.Astrocyte/rs2687189_profile_position.png",4,220,900)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0.139063053</v>
      </c>
      <c r="G2627" t="n">
        <v>0.0375452291516149</v>
      </c>
      <c r="H2627" t="n">
        <v>0.0351559330639887</v>
      </c>
      <c r="I2627" t="n">
        <v>0.0160127014693856</v>
      </c>
      <c r="J2627" t="n">
        <v>0.000203796569806</v>
      </c>
      <c r="K2627" t="n">
        <v>0.9737540683264084</v>
      </c>
      <c r="L2627" t="b">
        <v>0</v>
      </c>
      <c r="M2627" t="b">
        <v>0</v>
      </c>
      <c r="N2627" t="inlineStr">
        <is>
          <t>alt</t>
        </is>
      </c>
      <c r="O2627" t="n">
        <v>80</v>
      </c>
      <c r="P2627" t="n">
        <v>0.00632</v>
      </c>
      <c r="Q2627" t="n">
        <v>50</v>
      </c>
      <c r="R2627" t="n">
        <v>0.06510000000000001</v>
      </c>
      <c r="S2627">
        <f>IMAGE("https://mitra.stanford.edu/kundaje/oak/projects/neuro-variants/variant_position/credible/roussos_2024/variant_figures/roussos_2024.childhood.Astrocyte/rs77635360_count_position.png",4,220,900)</f>
        <v/>
      </c>
      <c r="T2627">
        <f>IMAGE("https://mitra.stanford.edu/kundaje/oak/projects/neuro-variants/variant_position/credible/roussos_2024/variant_figures/roussos_2024.childhood.Astrocyte/rs77635360_profile_position.png",4,220,900)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-0.0142454935</v>
      </c>
      <c r="G2628" t="n">
        <v>0.5302946754691775</v>
      </c>
      <c r="H2628" t="n">
        <v>0.0206240694819685</v>
      </c>
      <c r="I2628" t="n">
        <v>0.1136112346199075</v>
      </c>
      <c r="J2628" t="n">
        <v>0.0281811728607084</v>
      </c>
      <c r="K2628" t="n">
        <v>0.5401173678929211</v>
      </c>
      <c r="L2628" t="b">
        <v>0</v>
      </c>
      <c r="M2628" t="b">
        <v>0</v>
      </c>
      <c r="N2628" t="inlineStr">
        <is>
          <t>ref</t>
        </is>
      </c>
      <c r="O2628" t="n">
        <v>90</v>
      </c>
      <c r="P2628" t="n">
        <v>0.003159</v>
      </c>
      <c r="Q2628" t="n">
        <v>100</v>
      </c>
      <c r="R2628" t="n">
        <v>0.07306</v>
      </c>
      <c r="S2628">
        <f>IMAGE("https://mitra.stanford.edu/kundaje/oak/projects/neuro-variants/variant_position/credible/roussos_2024/variant_figures/roussos_2024.childhood.Astrocyte/rs12629110_count_position.png",4,220,900)</f>
        <v/>
      </c>
      <c r="T2628">
        <f>IMAGE("https://mitra.stanford.edu/kundaje/oak/projects/neuro-variants/variant_position/credible/roussos_2024/variant_figures/roussos_2024.childhood.Astrocyte/rs12629110_profile_position.png",4,220,900)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-0.0278185019999999</v>
      </c>
      <c r="G2629" t="n">
        <v>0.4093917251143529</v>
      </c>
      <c r="H2629" t="n">
        <v>0.0511666998704051</v>
      </c>
      <c r="I2629" t="n">
        <v>0.0036976408477643</v>
      </c>
      <c r="J2629" t="n">
        <v>0.0003572164594352</v>
      </c>
      <c r="K2629" t="n">
        <v>0.957019667891324</v>
      </c>
      <c r="L2629" t="b">
        <v>0</v>
      </c>
      <c r="M2629" t="b">
        <v>0</v>
      </c>
      <c r="N2629" t="inlineStr">
        <is>
          <t>ref</t>
        </is>
      </c>
      <c r="O2629" t="n">
        <v>-85</v>
      </c>
      <c r="P2629" t="n">
        <v>0.01227</v>
      </c>
      <c r="Q2629" t="n">
        <v>-45</v>
      </c>
      <c r="R2629" t="n">
        <v>0.02267</v>
      </c>
      <c r="S2629">
        <f>IMAGE("https://mitra.stanford.edu/kundaje/oak/projects/neuro-variants/variant_position/credible/roussos_2024/variant_figures/roussos_2024.childhood.Astrocyte/rs9818182_count_position.png",4,220,900)</f>
        <v/>
      </c>
      <c r="T2629">
        <f>IMAGE("https://mitra.stanford.edu/kundaje/oak/projects/neuro-variants/variant_position/credible/roussos_2024/variant_figures/roussos_2024.childhood.Astrocyte/rs9818182_profile_position.png",4,220,900)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-0.18498391278</v>
      </c>
      <c r="G2630" t="n">
        <v>0.029225844326003</v>
      </c>
      <c r="H2630" t="n">
        <v>0.0297961706015672</v>
      </c>
      <c r="I2630" t="n">
        <v>0.0330827304579275</v>
      </c>
      <c r="J2630" t="n">
        <v>0.0401975376489355</v>
      </c>
      <c r="K2630" t="n">
        <v>0.507171144599472</v>
      </c>
      <c r="L2630" t="b">
        <v>0</v>
      </c>
      <c r="M2630" t="b">
        <v>0</v>
      </c>
      <c r="N2630" t="inlineStr">
        <is>
          <t>ref</t>
        </is>
      </c>
      <c r="O2630" t="n">
        <v>55</v>
      </c>
      <c r="P2630" t="n">
        <v>0.007507</v>
      </c>
      <c r="Q2630" t="n">
        <v>55</v>
      </c>
      <c r="R2630" t="n">
        <v>0.0989</v>
      </c>
      <c r="S2630">
        <f>IMAGE("https://mitra.stanford.edu/kundaje/oak/projects/neuro-variants/variant_position/credible/roussos_2024/variant_figures/roussos_2024.childhood.Astrocyte/rs9828307_count_position.png",4,220,900)</f>
        <v/>
      </c>
      <c r="T2630">
        <f>IMAGE("https://mitra.stanford.edu/kundaje/oak/projects/neuro-variants/variant_position/credible/roussos_2024/variant_figures/roussos_2024.childhood.Astrocyte/rs9828307_profile_position.png",4,220,900)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-0.07881154479999999</v>
      </c>
      <c r="G2631" t="n">
        <v>0.1111005376668896</v>
      </c>
      <c r="H2631" t="n">
        <v>0.0122279534468965</v>
      </c>
      <c r="I2631" t="n">
        <v>0.4894868182701554</v>
      </c>
      <c r="J2631" t="n">
        <v>0.2973758329326096</v>
      </c>
      <c r="K2631" t="n">
        <v>0.1333350705347079</v>
      </c>
      <c r="L2631" t="b">
        <v>0</v>
      </c>
      <c r="M2631" t="b">
        <v>0</v>
      </c>
      <c r="N2631" t="inlineStr">
        <is>
          <t>ref</t>
        </is>
      </c>
      <c r="O2631" t="n">
        <v>100</v>
      </c>
      <c r="P2631" t="n">
        <v>0.0718</v>
      </c>
      <c r="Q2631" t="n">
        <v>100</v>
      </c>
      <c r="R2631" t="n">
        <v>0.288</v>
      </c>
      <c r="S2631">
        <f>IMAGE("https://mitra.stanford.edu/kundaje/oak/projects/neuro-variants/variant_position/credible/roussos_2024/variant_figures/roussos_2024.childhood.Astrocyte/rs606506_count_position.png",4,220,900)</f>
        <v/>
      </c>
      <c r="T2631">
        <f>IMAGE("https://mitra.stanford.edu/kundaje/oak/projects/neuro-variants/variant_position/credible/roussos_2024/variant_figures/roussos_2024.childhood.Astrocyte/rs606506_profile_position.png",4,220,900)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0.0219270315</v>
      </c>
      <c r="G2632" t="n">
        <v>0.4750678513186726</v>
      </c>
      <c r="H2632" t="n">
        <v>0.0275312377718019</v>
      </c>
      <c r="I2632" t="n">
        <v>0.0416276445480364</v>
      </c>
      <c r="J2632" t="n">
        <v>0.0135505636845198</v>
      </c>
      <c r="K2632" t="n">
        <v>0.6460107292853896</v>
      </c>
      <c r="L2632" t="b">
        <v>0</v>
      </c>
      <c r="M2632" t="b">
        <v>0</v>
      </c>
      <c r="N2632" t="inlineStr">
        <is>
          <t>alt</t>
        </is>
      </c>
      <c r="O2632" t="n">
        <v>-55</v>
      </c>
      <c r="P2632" t="n">
        <v>0.005325</v>
      </c>
      <c r="Q2632" t="n">
        <v>-55</v>
      </c>
      <c r="R2632" t="n">
        <v>0.09950000000000001</v>
      </c>
      <c r="S2632">
        <f>IMAGE("https://mitra.stanford.edu/kundaje/oak/projects/neuro-variants/variant_position/credible/roussos_2024/variant_figures/roussos_2024.childhood.Astrocyte/rs640732_count_position.png",4,220,900)</f>
        <v/>
      </c>
      <c r="T2632">
        <f>IMAGE("https://mitra.stanford.edu/kundaje/oak/projects/neuro-variants/variant_position/credible/roussos_2024/variant_figures/roussos_2024.childhood.Astrocyte/rs640732_profile_position.png",4,220,900)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-0.036188185</v>
      </c>
      <c r="G2633" t="n">
        <v>0.3221556793645913</v>
      </c>
      <c r="H2633" t="n">
        <v>0.0135916393692542</v>
      </c>
      <c r="I2633" t="n">
        <v>0.3876535618351955</v>
      </c>
      <c r="J2633" t="n">
        <v>0.0015128269713692</v>
      </c>
      <c r="K2633" t="n">
        <v>0.879946627847139</v>
      </c>
      <c r="L2633" t="b">
        <v>0</v>
      </c>
      <c r="M2633" t="b">
        <v>0</v>
      </c>
      <c r="N2633" t="inlineStr">
        <is>
          <t>ref</t>
        </is>
      </c>
      <c r="O2633" t="n">
        <v>75</v>
      </c>
      <c r="P2633" t="n">
        <v>0.002674</v>
      </c>
      <c r="Q2633" t="n">
        <v>15</v>
      </c>
      <c r="R2633" t="n">
        <v>0.005493</v>
      </c>
      <c r="S2633">
        <f>IMAGE("https://mitra.stanford.edu/kundaje/oak/projects/neuro-variants/variant_position/credible/roussos_2024/variant_figures/roussos_2024.childhood.Astrocyte/rs626136_count_position.png",4,220,900)</f>
        <v/>
      </c>
      <c r="T2633">
        <f>IMAGE("https://mitra.stanford.edu/kundaje/oak/projects/neuro-variants/variant_position/credible/roussos_2024/variant_figures/roussos_2024.childhood.Astrocyte/rs626136_profile_position.png",4,220,900)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-0.0619311387999999</v>
      </c>
      <c r="G2634" t="n">
        <v>0.158990740657936</v>
      </c>
      <c r="H2634" t="n">
        <v>0.0114189539447259</v>
      </c>
      <c r="I2634" t="n">
        <v>0.5768002878472579</v>
      </c>
      <c r="J2634" t="n">
        <v>0.0042751482677291</v>
      </c>
      <c r="K2634" t="n">
        <v>0.8059319397078846</v>
      </c>
      <c r="L2634" t="b">
        <v>0</v>
      </c>
      <c r="M2634" t="b">
        <v>0</v>
      </c>
      <c r="N2634" t="inlineStr">
        <is>
          <t>ref</t>
        </is>
      </c>
      <c r="O2634" t="n">
        <v>-15</v>
      </c>
      <c r="P2634" t="n">
        <v>0.002121</v>
      </c>
      <c r="Q2634" t="n">
        <v>15</v>
      </c>
      <c r="R2634" t="n">
        <v>0.03992</v>
      </c>
      <c r="S2634">
        <f>IMAGE("https://mitra.stanford.edu/kundaje/oak/projects/neuro-variants/variant_position/credible/roussos_2024/variant_figures/roussos_2024.childhood.Astrocyte/rs623843_count_position.png",4,220,900)</f>
        <v/>
      </c>
      <c r="T2634">
        <f>IMAGE("https://mitra.stanford.edu/kundaje/oak/projects/neuro-variants/variant_position/credible/roussos_2024/variant_figures/roussos_2024.childhood.Astrocyte/rs623843_profile_position.png",4,220,900)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0.0292712013999999</v>
      </c>
      <c r="G2635" t="n">
        <v>0.3858304570757568</v>
      </c>
      <c r="H2635" t="n">
        <v>0.0103749629866618</v>
      </c>
      <c r="I2635" t="n">
        <v>0.6726530845496342</v>
      </c>
      <c r="J2635" t="n">
        <v>0.0469762542648438</v>
      </c>
      <c r="K2635" t="n">
        <v>0.4651577808923799</v>
      </c>
      <c r="L2635" t="b">
        <v>0</v>
      </c>
      <c r="M2635" t="b">
        <v>0</v>
      </c>
      <c r="N2635" t="inlineStr">
        <is>
          <t>alt</t>
        </is>
      </c>
      <c r="O2635" t="n">
        <v>90</v>
      </c>
      <c r="P2635" t="n">
        <v>0.01352</v>
      </c>
      <c r="Q2635" t="n">
        <v>90</v>
      </c>
      <c r="R2635" t="n">
        <v>0.1711</v>
      </c>
      <c r="S2635">
        <f>IMAGE("https://mitra.stanford.edu/kundaje/oak/projects/neuro-variants/variant_position/credible/roussos_2024/variant_figures/roussos_2024.childhood.Astrocyte/rs623808_count_position.png",4,220,900)</f>
        <v/>
      </c>
      <c r="T2635">
        <f>IMAGE("https://mitra.stanford.edu/kundaje/oak/projects/neuro-variants/variant_position/credible/roussos_2024/variant_figures/roussos_2024.childhood.Astrocyte/rs623808_profile_position.png",4,220,900)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0.272584656</v>
      </c>
      <c r="G2636" t="n">
        <v>0.0073233590028857</v>
      </c>
      <c r="H2636" t="n">
        <v>0.0343466145674304</v>
      </c>
      <c r="I2636" t="n">
        <v>0.0177139903201114</v>
      </c>
      <c r="J2636" t="n">
        <v>0.0479242517918068</v>
      </c>
      <c r="K2636" t="n">
        <v>0.4531681808989029</v>
      </c>
      <c r="L2636" t="b">
        <v>1</v>
      </c>
      <c r="M2636" t="b">
        <v>1</v>
      </c>
      <c r="N2636" t="inlineStr">
        <is>
          <t>alt</t>
        </is>
      </c>
      <c r="O2636" t="n">
        <v>0</v>
      </c>
      <c r="P2636" t="n">
        <v>0</v>
      </c>
      <c r="Q2636" t="n">
        <v>-40</v>
      </c>
      <c r="R2636" t="n">
        <v>0.02734</v>
      </c>
      <c r="S2636">
        <f>IMAGE("https://mitra.stanford.edu/kundaje/oak/projects/neuro-variants/variant_position/credible/roussos_2024/variant_figures/roussos_2024.childhood.Astrocyte/rs9863323_count_position.png",4,220,900)</f>
        <v/>
      </c>
      <c r="T2636">
        <f>IMAGE("https://mitra.stanford.edu/kundaje/oak/projects/neuro-variants/variant_position/credible/roussos_2024/variant_figures/roussos_2024.childhood.Astrocyte/rs9863323_profile_position.png",4,220,900)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0.043374403</v>
      </c>
      <c r="G2637" t="n">
        <v>0.2488848934298545</v>
      </c>
      <c r="H2637" t="n">
        <v>0.0160511825214806</v>
      </c>
      <c r="I2637" t="n">
        <v>0.2503471502270202</v>
      </c>
      <c r="J2637" t="n">
        <v>0.0724355598299405</v>
      </c>
      <c r="K2637" t="n">
        <v>0.3816512490740444</v>
      </c>
      <c r="L2637" t="b">
        <v>0</v>
      </c>
      <c r="M2637" t="b">
        <v>0</v>
      </c>
      <c r="N2637" t="inlineStr">
        <is>
          <t>alt</t>
        </is>
      </c>
      <c r="O2637" t="n">
        <v>100</v>
      </c>
      <c r="P2637" t="n">
        <v>0.0351</v>
      </c>
      <c r="Q2637" t="n">
        <v>-75</v>
      </c>
      <c r="R2637" t="n">
        <v>0.12085</v>
      </c>
      <c r="S2637">
        <f>IMAGE("https://mitra.stanford.edu/kundaje/oak/projects/neuro-variants/variant_position/credible/roussos_2024/variant_figures/roussos_2024.childhood.Astrocyte/rs6787306_count_position.png",4,220,900)</f>
        <v/>
      </c>
      <c r="T2637">
        <f>IMAGE("https://mitra.stanford.edu/kundaje/oak/projects/neuro-variants/variant_position/credible/roussos_2024/variant_figures/roussos_2024.childhood.Astrocyte/rs6787306_profile_position.png",4,220,900)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-0.0207745032</v>
      </c>
      <c r="G2638" t="n">
        <v>0.5178828478799318</v>
      </c>
      <c r="H2638" t="n">
        <v>0.0488787027503737</v>
      </c>
      <c r="I2638" t="n">
        <v>0.0043508216474836</v>
      </c>
      <c r="J2638" t="n">
        <v>0.0420599482494103</v>
      </c>
      <c r="K2638" t="n">
        <v>0.4742303261371043</v>
      </c>
      <c r="L2638" t="b">
        <v>1</v>
      </c>
      <c r="M2638" t="b">
        <v>0</v>
      </c>
      <c r="N2638" t="inlineStr">
        <is>
          <t>ref</t>
        </is>
      </c>
      <c r="O2638" t="n">
        <v>100</v>
      </c>
      <c r="P2638" t="n">
        <v>0.00873</v>
      </c>
      <c r="Q2638" t="n">
        <v>100</v>
      </c>
      <c r="R2638" t="n">
        <v>0.1038</v>
      </c>
      <c r="S2638">
        <f>IMAGE("https://mitra.stanford.edu/kundaje/oak/projects/neuro-variants/variant_position/credible/roussos_2024/variant_figures/roussos_2024.childhood.Astrocyte/rs6766287_count_position.png",4,220,900)</f>
        <v/>
      </c>
      <c r="T2638">
        <f>IMAGE("https://mitra.stanford.edu/kundaje/oak/projects/neuro-variants/variant_position/credible/roussos_2024/variant_figures/roussos_2024.childhood.Astrocyte/rs6766287_profile_position.png",4,220,900)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0.0761724446</v>
      </c>
      <c r="G2639" t="n">
        <v>0.1108705883979823</v>
      </c>
      <c r="H2639" t="n">
        <v>0.0140508071216435</v>
      </c>
      <c r="I2639" t="n">
        <v>0.3587050391269879</v>
      </c>
      <c r="J2639" t="n">
        <v>0.0096593467823803</v>
      </c>
      <c r="K2639" t="n">
        <v>0.7025258168786029</v>
      </c>
      <c r="L2639" t="b">
        <v>0</v>
      </c>
      <c r="M2639" t="b">
        <v>0</v>
      </c>
      <c r="N2639" t="inlineStr">
        <is>
          <t>alt</t>
        </is>
      </c>
      <c r="O2639" t="n">
        <v>-10</v>
      </c>
      <c r="P2639" t="n">
        <v>0.0007095</v>
      </c>
      <c r="Q2639" t="n">
        <v>-100</v>
      </c>
      <c r="R2639" t="n">
        <v>0.06963999999999999</v>
      </c>
      <c r="S2639">
        <f>IMAGE("https://mitra.stanford.edu/kundaje/oak/projects/neuro-variants/variant_position/credible/roussos_2024/variant_figures/roussos_2024.childhood.Astrocyte/rs11130874_count_position.png",4,220,900)</f>
        <v/>
      </c>
      <c r="T2639">
        <f>IMAGE("https://mitra.stanford.edu/kundaje/oak/projects/neuro-variants/variant_position/credible/roussos_2024/variant_figures/roussos_2024.childhood.Astrocyte/rs11130874_profile_position.png",4,220,900)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0.01089910132</v>
      </c>
      <c r="G2640" t="n">
        <v>0.6756413012023226</v>
      </c>
      <c r="H2640" t="n">
        <v>0.0159013258568225</v>
      </c>
      <c r="I2640" t="n">
        <v>0.25224515035767</v>
      </c>
      <c r="J2640" t="n">
        <v>0.0079076122216878</v>
      </c>
      <c r="K2640" t="n">
        <v>0.7312623161035633</v>
      </c>
      <c r="L2640" t="b">
        <v>0</v>
      </c>
      <c r="M2640" t="b">
        <v>0</v>
      </c>
      <c r="N2640" t="inlineStr">
        <is>
          <t>alt</t>
        </is>
      </c>
      <c r="O2640" t="n">
        <v>65</v>
      </c>
      <c r="P2640" t="n">
        <v>0.005795</v>
      </c>
      <c r="Q2640" t="n">
        <v>100</v>
      </c>
      <c r="R2640" t="n">
        <v>0.2097</v>
      </c>
      <c r="S2640">
        <f>IMAGE("https://mitra.stanford.edu/kundaje/oak/projects/neuro-variants/variant_position/credible/roussos_2024/variant_figures/roussos_2024.childhood.Astrocyte/rs11715438_count_position.png",4,220,900)</f>
        <v/>
      </c>
      <c r="T2640">
        <f>IMAGE("https://mitra.stanford.edu/kundaje/oak/projects/neuro-variants/variant_position/credible/roussos_2024/variant_figures/roussos_2024.childhood.Astrocyte/rs11715438_profile_position.png",4,220,900)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0.0497813372</v>
      </c>
      <c r="G2641" t="n">
        <v>0.2258913758221005</v>
      </c>
      <c r="H2641" t="n">
        <v>0.0101943247914391</v>
      </c>
      <c r="I2641" t="n">
        <v>0.7023979973731547</v>
      </c>
      <c r="J2641" t="n">
        <v>0.0123583155870027</v>
      </c>
      <c r="K2641" t="n">
        <v>0.665024914764114</v>
      </c>
      <c r="L2641" t="b">
        <v>0</v>
      </c>
      <c r="M2641" t="b">
        <v>0</v>
      </c>
      <c r="N2641" t="inlineStr">
        <is>
          <t>alt</t>
        </is>
      </c>
      <c r="O2641" t="n">
        <v>100</v>
      </c>
      <c r="P2641" t="n">
        <v>0.02945</v>
      </c>
      <c r="Q2641" t="n">
        <v>100</v>
      </c>
      <c r="R2641" t="n">
        <v>0.1335</v>
      </c>
      <c r="S2641">
        <f>IMAGE("https://mitra.stanford.edu/kundaje/oak/projects/neuro-variants/variant_position/credible/roussos_2024/variant_figures/roussos_2024.childhood.Astrocyte/rs1859404_count_position.png",4,220,900)</f>
        <v/>
      </c>
      <c r="T2641">
        <f>IMAGE("https://mitra.stanford.edu/kundaje/oak/projects/neuro-variants/variant_position/credible/roussos_2024/variant_figures/roussos_2024.childhood.Astrocyte/rs1859404_profile_position.png",4,220,900)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0.01559155328</v>
      </c>
      <c r="G2642" t="n">
        <v>0.5737902683556551</v>
      </c>
      <c r="H2642" t="n">
        <v>0.015776279919208</v>
      </c>
      <c r="I2642" t="n">
        <v>0.2573869096076718</v>
      </c>
      <c r="J2642" t="n">
        <v>0.0298176516834206</v>
      </c>
      <c r="K2642" t="n">
        <v>0.5290806938707827</v>
      </c>
      <c r="L2642" t="b">
        <v>0</v>
      </c>
      <c r="M2642" t="b">
        <v>0</v>
      </c>
      <c r="N2642" t="inlineStr">
        <is>
          <t>alt</t>
        </is>
      </c>
      <c r="O2642" t="n">
        <v>-10</v>
      </c>
      <c r="P2642" t="n">
        <v>0.002785</v>
      </c>
      <c r="Q2642" t="n">
        <v>-100</v>
      </c>
      <c r="R2642" t="n">
        <v>0.1748</v>
      </c>
      <c r="S2642">
        <f>IMAGE("https://mitra.stanford.edu/kundaje/oak/projects/neuro-variants/variant_position/credible/roussos_2024/variant_figures/roussos_2024.childhood.Astrocyte/rs7646226_count_position.png",4,220,900)</f>
        <v/>
      </c>
      <c r="T2642">
        <f>IMAGE("https://mitra.stanford.edu/kundaje/oak/projects/neuro-variants/variant_position/credible/roussos_2024/variant_figures/roussos_2024.childhood.Astrocyte/rs7646226_profile_position.png",4,220,900)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0.0609773808</v>
      </c>
      <c r="G2643" t="n">
        <v>0.155367819342087</v>
      </c>
      <c r="H2643" t="n">
        <v>0.0194618333203793</v>
      </c>
      <c r="I2643" t="n">
        <v>0.1377651744152894</v>
      </c>
      <c r="J2643" t="n">
        <v>0.0071786769251906</v>
      </c>
      <c r="K2643" t="n">
        <v>0.7586333742931166</v>
      </c>
      <c r="L2643" t="b">
        <v>0</v>
      </c>
      <c r="M2643" t="b">
        <v>0</v>
      </c>
      <c r="N2643" t="inlineStr">
        <is>
          <t>alt</t>
        </is>
      </c>
      <c r="O2643" t="n">
        <v>-85</v>
      </c>
      <c r="P2643" t="n">
        <v>0.00479</v>
      </c>
      <c r="Q2643" t="n">
        <v>80</v>
      </c>
      <c r="R2643" t="n">
        <v>0.01599</v>
      </c>
      <c r="S2643">
        <f>IMAGE("https://mitra.stanford.edu/kundaje/oak/projects/neuro-variants/variant_position/credible/roussos_2024/variant_figures/roussos_2024.childhood.Astrocyte/rs35831310_count_position.png",4,220,900)</f>
        <v/>
      </c>
      <c r="T2643">
        <f>IMAGE("https://mitra.stanford.edu/kundaje/oak/projects/neuro-variants/variant_position/credible/roussos_2024/variant_figures/roussos_2024.childhood.Astrocyte/rs35831310_profile_position.png",4,220,900)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-0.08004342840000001</v>
      </c>
      <c r="G2644" t="n">
        <v>0.1735714846028995</v>
      </c>
      <c r="H2644" t="n">
        <v>0.0164711448699187</v>
      </c>
      <c r="I2644" t="n">
        <v>0.2465192960235662</v>
      </c>
      <c r="J2644" t="n">
        <v>0.412186576904582</v>
      </c>
      <c r="K2644" t="n">
        <v>0.082395645429752</v>
      </c>
      <c r="L2644" t="b">
        <v>0</v>
      </c>
      <c r="M2644" t="b">
        <v>0</v>
      </c>
      <c r="N2644" t="inlineStr">
        <is>
          <t>ref</t>
        </is>
      </c>
      <c r="O2644" t="n">
        <v>0</v>
      </c>
      <c r="P2644" t="n">
        <v>0</v>
      </c>
      <c r="Q2644" t="n">
        <v>-100</v>
      </c>
      <c r="R2644" t="n">
        <v>0.052</v>
      </c>
      <c r="S2644">
        <f>IMAGE("https://mitra.stanford.edu/kundaje/oak/projects/neuro-variants/variant_position/credible/roussos_2024/variant_figures/roussos_2024.childhood.Astrocyte/rs113467722_count_position.png",4,220,900)</f>
        <v/>
      </c>
      <c r="T2644">
        <f>IMAGE("https://mitra.stanford.edu/kundaje/oak/projects/neuro-variants/variant_position/credible/roussos_2024/variant_figures/roussos_2024.childhood.Astrocyte/rs113467722_profile_position.png",4,220,900)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-0.07720518179999999</v>
      </c>
      <c r="G2645" t="n">
        <v>0.1328013139480204</v>
      </c>
      <c r="H2645" t="n">
        <v>0.0149501206548477</v>
      </c>
      <c r="I2645" t="n">
        <v>0.2936960702015449</v>
      </c>
      <c r="J2645" t="n">
        <v>0.08731194614274911</v>
      </c>
      <c r="K2645" t="n">
        <v>0.3500904558819256</v>
      </c>
      <c r="L2645" t="b">
        <v>0</v>
      </c>
      <c r="M2645" t="b">
        <v>0</v>
      </c>
      <c r="N2645" t="inlineStr">
        <is>
          <t>ref</t>
        </is>
      </c>
      <c r="O2645" t="n">
        <v>-100</v>
      </c>
      <c r="P2645" t="n">
        <v>0.00991</v>
      </c>
      <c r="Q2645" t="n">
        <v>-100</v>
      </c>
      <c r="R2645" t="n">
        <v>0.1273</v>
      </c>
      <c r="S2645">
        <f>IMAGE("https://mitra.stanford.edu/kundaje/oak/projects/neuro-variants/variant_position/credible/roussos_2024/variant_figures/roussos_2024.childhood.Astrocyte/rs2366683_count_position.png",4,220,900)</f>
        <v/>
      </c>
      <c r="T2645">
        <f>IMAGE("https://mitra.stanford.edu/kundaje/oak/projects/neuro-variants/variant_position/credible/roussos_2024/variant_figures/roussos_2024.childhood.Astrocyte/rs2366683_profile_position.png",4,220,900)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-0.0454350184</v>
      </c>
      <c r="G2646" t="n">
        <v>0.1891295172398344</v>
      </c>
      <c r="H2646" t="n">
        <v>0.0159268431518608</v>
      </c>
      <c r="I2646" t="n">
        <v>0.2677002087087523</v>
      </c>
      <c r="J2646" t="n">
        <v>0.0445734392770182</v>
      </c>
      <c r="K2646" t="n">
        <v>0.4656084026993837</v>
      </c>
      <c r="L2646" t="b">
        <v>0</v>
      </c>
      <c r="M2646" t="b">
        <v>0</v>
      </c>
      <c r="N2646" t="inlineStr">
        <is>
          <t>ref</t>
        </is>
      </c>
      <c r="O2646" t="n">
        <v>-100</v>
      </c>
      <c r="P2646" t="n">
        <v>0.010925</v>
      </c>
      <c r="Q2646" t="n">
        <v>-100</v>
      </c>
      <c r="R2646" t="n">
        <v>0.08093</v>
      </c>
      <c r="S2646">
        <f>IMAGE("https://mitra.stanford.edu/kundaje/oak/projects/neuro-variants/variant_position/credible/roussos_2024/variant_figures/roussos_2024.childhood.Astrocyte/rs13081552_count_position.png",4,220,900)</f>
        <v/>
      </c>
      <c r="T2646">
        <f>IMAGE("https://mitra.stanford.edu/kundaje/oak/projects/neuro-variants/variant_position/credible/roussos_2024/variant_figures/roussos_2024.childhood.Astrocyte/rs13081552_profile_position.png",4,220,900)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-0.1189252846</v>
      </c>
      <c r="G2647" t="n">
        <v>0.057504881253982</v>
      </c>
      <c r="H2647" t="n">
        <v>0.0176234441731429</v>
      </c>
      <c r="I2647" t="n">
        <v>0.1885195721309028</v>
      </c>
      <c r="J2647" t="n">
        <v>0.0500797630769465</v>
      </c>
      <c r="K2647" t="n">
        <v>0.4416637271075208</v>
      </c>
      <c r="L2647" t="b">
        <v>0</v>
      </c>
      <c r="M2647" t="b">
        <v>0</v>
      </c>
      <c r="N2647" t="inlineStr">
        <is>
          <t>ref</t>
        </is>
      </c>
      <c r="O2647" t="n">
        <v>40</v>
      </c>
      <c r="P2647" t="n">
        <v>0.0006256</v>
      </c>
      <c r="Q2647" t="n">
        <v>-100</v>
      </c>
      <c r="R2647" t="n">
        <v>0.0896</v>
      </c>
      <c r="S2647">
        <f>IMAGE("https://mitra.stanford.edu/kundaje/oak/projects/neuro-variants/variant_position/credible/roussos_2024/variant_figures/roussos_2024.childhood.Astrocyte/rs1452082_count_position.png",4,220,900)</f>
        <v/>
      </c>
      <c r="T2647">
        <f>IMAGE("https://mitra.stanford.edu/kundaje/oak/projects/neuro-variants/variant_position/credible/roussos_2024/variant_figures/roussos_2024.childhood.Astrocyte/rs1452082_profile_position.png",4,220,900)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-0.00669361192</v>
      </c>
      <c r="G2648" t="n">
        <v>0.8174797340038613</v>
      </c>
      <c r="H2648" t="n">
        <v>0.0112758504129507</v>
      </c>
      <c r="I2648" t="n">
        <v>0.5881385532603648</v>
      </c>
      <c r="J2648" t="n">
        <v>0.0037126086724217</v>
      </c>
      <c r="K2648" t="n">
        <v>0.8031466486421764</v>
      </c>
      <c r="L2648" t="b">
        <v>0</v>
      </c>
      <c r="M2648" t="b">
        <v>0</v>
      </c>
      <c r="N2648" t="inlineStr">
        <is>
          <t>ref</t>
        </is>
      </c>
      <c r="O2648" t="n">
        <v>30</v>
      </c>
      <c r="P2648" t="n">
        <v>0.007317</v>
      </c>
      <c r="Q2648" t="n">
        <v>80</v>
      </c>
      <c r="R2648" t="n">
        <v>0.07294</v>
      </c>
      <c r="S2648">
        <f>IMAGE("https://mitra.stanford.edu/kundaje/oak/projects/neuro-variants/variant_position/credible/roussos_2024/variant_figures/roussos_2024.childhood.Astrocyte/rs6786550_count_position.png",4,220,900)</f>
        <v/>
      </c>
      <c r="T2648">
        <f>IMAGE("https://mitra.stanford.edu/kundaje/oak/projects/neuro-variants/variant_position/credible/roussos_2024/variant_figures/roussos_2024.childhood.Astrocyte/rs6786550_profile_position.png",4,220,900)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-0.0222267616</v>
      </c>
      <c r="G2649" t="n">
        <v>0.4970980801985422</v>
      </c>
      <c r="H2649" t="n">
        <v>0.040238549935333</v>
      </c>
      <c r="I2649" t="n">
        <v>0.0093935411170834</v>
      </c>
      <c r="J2649" t="n">
        <v>0.0073198842862921</v>
      </c>
      <c r="K2649" t="n">
        <v>0.7263462162473042</v>
      </c>
      <c r="L2649" t="b">
        <v>0</v>
      </c>
      <c r="M2649" t="b">
        <v>0</v>
      </c>
      <c r="N2649" t="inlineStr">
        <is>
          <t>ref</t>
        </is>
      </c>
      <c r="O2649" t="n">
        <v>50</v>
      </c>
      <c r="P2649" t="n">
        <v>0.003967</v>
      </c>
      <c r="Q2649" t="n">
        <v>-55</v>
      </c>
      <c r="R2649" t="n">
        <v>0.08044</v>
      </c>
      <c r="S2649">
        <f>IMAGE("https://mitra.stanford.edu/kundaje/oak/projects/neuro-variants/variant_position/credible/roussos_2024/variant_figures/roussos_2024.childhood.Astrocyte/rs72886387_count_position.png",4,220,900)</f>
        <v/>
      </c>
      <c r="T2649">
        <f>IMAGE("https://mitra.stanford.edu/kundaje/oak/projects/neuro-variants/variant_position/credible/roussos_2024/variant_figures/roussos_2024.childhood.Astrocyte/rs72886387_profile_position.png",4,220,900)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4.262249999999953e-05</v>
      </c>
      <c r="G2650" t="n">
        <v>0.5737077646915837</v>
      </c>
      <c r="H2650" t="n">
        <v>0.0205615858704153</v>
      </c>
      <c r="I2650" t="n">
        <v>0.1153474610794191</v>
      </c>
      <c r="J2650" t="n">
        <v>0.0081091189423949</v>
      </c>
      <c r="K2650" t="n">
        <v>0.718806385325137</v>
      </c>
      <c r="L2650" t="b">
        <v>0</v>
      </c>
      <c r="M2650" t="b">
        <v>0</v>
      </c>
      <c r="N2650" t="inlineStr">
        <is>
          <t>alt</t>
        </is>
      </c>
      <c r="O2650" t="n">
        <v>60</v>
      </c>
      <c r="P2650" t="n">
        <v>0.000826</v>
      </c>
      <c r="Q2650" t="n">
        <v>15</v>
      </c>
      <c r="R2650" t="n">
        <v>0.0498</v>
      </c>
      <c r="S2650">
        <f>IMAGE("https://mitra.stanford.edu/kundaje/oak/projects/neuro-variants/variant_position/credible/roussos_2024/variant_figures/roussos_2024.childhood.Astrocyte/rs3774702_count_position.png",4,220,900)</f>
        <v/>
      </c>
      <c r="T2650">
        <f>IMAGE("https://mitra.stanford.edu/kundaje/oak/projects/neuro-variants/variant_position/credible/roussos_2024/variant_figures/roussos_2024.childhood.Astrocyte/rs3774702_profile_position.png",4,220,900)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-0.115565588</v>
      </c>
      <c r="G2651" t="n">
        <v>0.0564028018833093</v>
      </c>
      <c r="H2651" t="n">
        <v>0.0131651320689737</v>
      </c>
      <c r="I2651" t="n">
        <v>0.4153606233718055</v>
      </c>
      <c r="J2651" t="n">
        <v>0.1257371405891018</v>
      </c>
      <c r="K2651" t="n">
        <v>0.2832381349671063</v>
      </c>
      <c r="L2651" t="b">
        <v>0</v>
      </c>
      <c r="M2651" t="b">
        <v>0</v>
      </c>
      <c r="N2651" t="inlineStr">
        <is>
          <t>ref</t>
        </is>
      </c>
      <c r="O2651" t="n">
        <v>-30</v>
      </c>
      <c r="P2651" t="n">
        <v>0.002901</v>
      </c>
      <c r="Q2651" t="n">
        <v>-30</v>
      </c>
      <c r="R2651" t="n">
        <v>0.1304</v>
      </c>
      <c r="S2651">
        <f>IMAGE("https://mitra.stanford.edu/kundaje/oak/projects/neuro-variants/variant_position/credible/roussos_2024/variant_figures/roussos_2024.childhood.Astrocyte/rs3774720_count_position.png",4,220,900)</f>
        <v/>
      </c>
      <c r="T2651">
        <f>IMAGE("https://mitra.stanford.edu/kundaje/oak/projects/neuro-variants/variant_position/credible/roussos_2024/variant_figures/roussos_2024.childhood.Astrocyte/rs3774720_profile_position.png",4,220,900)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-0.00324262152</v>
      </c>
      <c r="G2652" t="n">
        <v>0.7678338673000661</v>
      </c>
      <c r="H2652" t="n">
        <v>0.009291366843944399</v>
      </c>
      <c r="I2652" t="n">
        <v>0.7945436473626224</v>
      </c>
      <c r="J2652" t="n">
        <v>0.1027440025035683</v>
      </c>
      <c r="K2652" t="n">
        <v>0.3308696146521134</v>
      </c>
      <c r="L2652" t="b">
        <v>0</v>
      </c>
      <c r="M2652" t="b">
        <v>0</v>
      </c>
      <c r="N2652" t="inlineStr">
        <is>
          <t>ref</t>
        </is>
      </c>
      <c r="O2652" t="n">
        <v>90</v>
      </c>
      <c r="P2652" t="n">
        <v>0.00219</v>
      </c>
      <c r="Q2652" t="n">
        <v>65</v>
      </c>
      <c r="R2652" t="n">
        <v>0.1505</v>
      </c>
      <c r="S2652">
        <f>IMAGE("https://mitra.stanford.edu/kundaje/oak/projects/neuro-variants/variant_position/credible/roussos_2024/variant_figures/roussos_2024.childhood.Astrocyte/rs35838_count_position.png",4,220,900)</f>
        <v/>
      </c>
      <c r="T2652">
        <f>IMAGE("https://mitra.stanford.edu/kundaje/oak/projects/neuro-variants/variant_position/credible/roussos_2024/variant_figures/roussos_2024.childhood.Astrocyte/rs35838_profile_position.png",4,220,900)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-0.1572942599999999</v>
      </c>
      <c r="G2653" t="n">
        <v>0.0280338935085038</v>
      </c>
      <c r="H2653" t="n">
        <v>0.0156571569731516</v>
      </c>
      <c r="I2653" t="n">
        <v>0.2736727058878182</v>
      </c>
      <c r="J2653" t="n">
        <v>0.275049040934869</v>
      </c>
      <c r="K2653" t="n">
        <v>0.148888764157904</v>
      </c>
      <c r="L2653" t="b">
        <v>0</v>
      </c>
      <c r="M2653" t="b">
        <v>0</v>
      </c>
      <c r="N2653" t="inlineStr">
        <is>
          <t>ref</t>
        </is>
      </c>
      <c r="O2653" t="n">
        <v>25</v>
      </c>
      <c r="P2653" t="n">
        <v>0.00787</v>
      </c>
      <c r="Q2653" t="n">
        <v>20</v>
      </c>
      <c r="R2653" t="n">
        <v>0.0654</v>
      </c>
      <c r="S2653">
        <f>IMAGE("https://mitra.stanford.edu/kundaje/oak/projects/neuro-variants/variant_position/credible/roussos_2024/variant_figures/roussos_2024.childhood.Astrocyte/rs704375_count_position.png",4,220,900)</f>
        <v/>
      </c>
      <c r="T2653">
        <f>IMAGE("https://mitra.stanford.edu/kundaje/oak/projects/neuro-variants/variant_position/credible/roussos_2024/variant_figures/roussos_2024.childhood.Astrocyte/rs704375_profile_position.png",4,220,900)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-0.0133147373399999</v>
      </c>
      <c r="G2654" t="n">
        <v>0.5979073910936529</v>
      </c>
      <c r="H2654" t="n">
        <v>0.0151893587516672</v>
      </c>
      <c r="I2654" t="n">
        <v>0.2875371031091904</v>
      </c>
      <c r="J2654" t="n">
        <v>0.1479311213391037</v>
      </c>
      <c r="K2654" t="n">
        <v>0.254591946883782</v>
      </c>
      <c r="L2654" t="b">
        <v>0</v>
      </c>
      <c r="M2654" t="b">
        <v>0</v>
      </c>
      <c r="N2654" t="inlineStr">
        <is>
          <t>ref</t>
        </is>
      </c>
      <c r="O2654" t="n">
        <v>100</v>
      </c>
      <c r="P2654" t="n">
        <v>0.009834000000000001</v>
      </c>
      <c r="Q2654" t="n">
        <v>-100</v>
      </c>
      <c r="R2654" t="n">
        <v>0.2507</v>
      </c>
      <c r="S2654">
        <f>IMAGE("https://mitra.stanford.edu/kundaje/oak/projects/neuro-variants/variant_position/credible/roussos_2024/variant_figures/roussos_2024.childhood.Astrocyte/rs26936_count_position.png",4,220,900)</f>
        <v/>
      </c>
      <c r="T2654">
        <f>IMAGE("https://mitra.stanford.edu/kundaje/oak/projects/neuro-variants/variant_position/credible/roussos_2024/variant_figures/roussos_2024.childhood.Astrocyte/rs26936_profile_position.png",4,220,900)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-0.0114995427399999</v>
      </c>
      <c r="G2655" t="n">
        <v>0.7023689587995668</v>
      </c>
      <c r="H2655" t="n">
        <v>0.0294177055025373</v>
      </c>
      <c r="I2655" t="n">
        <v>0.0318556139261652</v>
      </c>
      <c r="J2655" t="n">
        <v>0.008003022600810501</v>
      </c>
      <c r="K2655" t="n">
        <v>0.7188065365257337</v>
      </c>
      <c r="L2655" t="b">
        <v>0</v>
      </c>
      <c r="M2655" t="b">
        <v>0</v>
      </c>
      <c r="N2655" t="inlineStr">
        <is>
          <t>ref</t>
        </is>
      </c>
      <c r="O2655" t="n">
        <v>-5</v>
      </c>
      <c r="P2655" t="n">
        <v>0.0002441</v>
      </c>
      <c r="Q2655" t="n">
        <v>90</v>
      </c>
      <c r="R2655" t="n">
        <v>0.0824</v>
      </c>
      <c r="S2655">
        <f>IMAGE("https://mitra.stanford.edu/kundaje/oak/projects/neuro-variants/variant_position/credible/roussos_2024/variant_figures/roussos_2024.childhood.Astrocyte/rs35483362_count_position.png",4,220,900)</f>
        <v/>
      </c>
      <c r="T2655">
        <f>IMAGE("https://mitra.stanford.edu/kundaje/oak/projects/neuro-variants/variant_position/credible/roussos_2024/variant_figures/roussos_2024.childhood.Astrocyte/rs35483362_profile_position.png",4,220,900)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0.0199614339999999</v>
      </c>
      <c r="G2656" t="n">
        <v>0.5151040646955999</v>
      </c>
      <c r="H2656" t="n">
        <v>0.0101080431619385</v>
      </c>
      <c r="I2656" t="n">
        <v>0.6948766784989944</v>
      </c>
      <c r="J2656" t="n">
        <v>0.0536198697839145</v>
      </c>
      <c r="K2656" t="n">
        <v>0.4324491103493676</v>
      </c>
      <c r="L2656" t="b">
        <v>0</v>
      </c>
      <c r="M2656" t="b">
        <v>0</v>
      </c>
      <c r="N2656" t="inlineStr">
        <is>
          <t>alt</t>
        </is>
      </c>
      <c r="O2656" t="n">
        <v>-100</v>
      </c>
      <c r="P2656" t="n">
        <v>0.02713</v>
      </c>
      <c r="Q2656" t="n">
        <v>-75</v>
      </c>
      <c r="R2656" t="n">
        <v>0.05652</v>
      </c>
      <c r="S2656">
        <f>IMAGE("https://mitra.stanford.edu/kundaje/oak/projects/neuro-variants/variant_position/credible/roussos_2024/variant_figures/roussos_2024.childhood.Astrocyte/rs6805189_count_position.png",4,220,900)</f>
        <v/>
      </c>
      <c r="T2656">
        <f>IMAGE("https://mitra.stanford.edu/kundaje/oak/projects/neuro-variants/variant_position/credible/roussos_2024/variant_figures/roussos_2024.childhood.Astrocyte/rs6805189_profile_position.png",4,220,900)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-0.0134486166</v>
      </c>
      <c r="G2657" t="n">
        <v>0.1244962192667384</v>
      </c>
      <c r="H2657" t="n">
        <v>0.0330661251826214</v>
      </c>
      <c r="I2657" t="n">
        <v>0.0203290443024767</v>
      </c>
      <c r="J2657" t="n">
        <v>0.5008006839015975</v>
      </c>
      <c r="K2657" t="n">
        <v>0.0558148215214784</v>
      </c>
      <c r="L2657" t="b">
        <v>0</v>
      </c>
      <c r="M2657" t="b">
        <v>0</v>
      </c>
      <c r="N2657" t="inlineStr">
        <is>
          <t>ref</t>
        </is>
      </c>
      <c r="O2657" t="n">
        <v>-100</v>
      </c>
      <c r="P2657" t="n">
        <v>0.01483</v>
      </c>
      <c r="Q2657" t="n">
        <v>-100</v>
      </c>
      <c r="R2657" t="n">
        <v>0.1646</v>
      </c>
      <c r="S2657">
        <f>IMAGE("https://mitra.stanford.edu/kundaje/oak/projects/neuro-variants/variant_position/credible/roussos_2024/variant_figures/roussos_2024.childhood.Astrocyte/rs6803008_count_position.png",4,220,900)</f>
        <v/>
      </c>
      <c r="T2657">
        <f>IMAGE("https://mitra.stanford.edu/kundaje/oak/projects/neuro-variants/variant_position/credible/roussos_2024/variant_figures/roussos_2024.childhood.Astrocyte/rs6803008_profile_position.png",4,220,900)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-0.0452926668</v>
      </c>
      <c r="G2658" t="n">
        <v>0.2510526085370947</v>
      </c>
      <c r="H2658" t="n">
        <v>0.0126626864801031</v>
      </c>
      <c r="I2658" t="n">
        <v>0.4591408350073055</v>
      </c>
      <c r="J2658" t="n">
        <v>0.0914787082197949</v>
      </c>
      <c r="K2658" t="n">
        <v>0.3478360531429857</v>
      </c>
      <c r="L2658" t="b">
        <v>0</v>
      </c>
      <c r="M2658" t="b">
        <v>0</v>
      </c>
      <c r="N2658" t="inlineStr">
        <is>
          <t>ref</t>
        </is>
      </c>
      <c r="O2658" t="n">
        <v>100</v>
      </c>
      <c r="P2658" t="n">
        <v>0.04013</v>
      </c>
      <c r="Q2658" t="n">
        <v>100</v>
      </c>
      <c r="R2658" t="n">
        <v>0.2642</v>
      </c>
      <c r="S2658">
        <f>IMAGE("https://mitra.stanford.edu/kundaje/oak/projects/neuro-variants/variant_position/credible/roussos_2024/variant_figures/roussos_2024.childhood.Astrocyte/rs17008723_count_position.png",4,220,900)</f>
        <v/>
      </c>
      <c r="T2658">
        <f>IMAGE("https://mitra.stanford.edu/kundaje/oak/projects/neuro-variants/variant_position/credible/roussos_2024/variant_figures/roussos_2024.childhood.Astrocyte/rs17008723_profile_position.png",4,220,900)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-0.1182302176</v>
      </c>
      <c r="G2659" t="n">
        <v>0.0506169864677493</v>
      </c>
      <c r="H2659" t="n">
        <v>0.0178490301074208</v>
      </c>
      <c r="I2659" t="n">
        <v>0.1839643230828862</v>
      </c>
      <c r="J2659" t="n">
        <v>0.0665727828536099</v>
      </c>
      <c r="K2659" t="n">
        <v>0.3954506105564886</v>
      </c>
      <c r="L2659" t="b">
        <v>0</v>
      </c>
      <c r="M2659" t="b">
        <v>0</v>
      </c>
      <c r="N2659" t="inlineStr">
        <is>
          <t>ref</t>
        </is>
      </c>
      <c r="O2659" t="n">
        <v>-65</v>
      </c>
      <c r="P2659" t="n">
        <v>0.01784</v>
      </c>
      <c r="Q2659" t="n">
        <v>-15</v>
      </c>
      <c r="R2659" t="n">
        <v>0.0679</v>
      </c>
      <c r="S2659">
        <f>IMAGE("https://mitra.stanford.edu/kundaje/oak/projects/neuro-variants/variant_position/credible/roussos_2024/variant_figures/roussos_2024.childhood.Astrocyte/rs1437046_count_position.png",4,220,900)</f>
        <v/>
      </c>
      <c r="T2659">
        <f>IMAGE("https://mitra.stanford.edu/kundaje/oak/projects/neuro-variants/variant_position/credible/roussos_2024/variant_figures/roussos_2024.childhood.Astrocyte/rs1437046_profile_position.png",4,220,900)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-0.02857787796</v>
      </c>
      <c r="G2660" t="n">
        <v>0.4164408810852442</v>
      </c>
      <c r="H2660" t="n">
        <v>0.0315442869387362</v>
      </c>
      <c r="I2660" t="n">
        <v>0.0250085378014578</v>
      </c>
      <c r="J2660" t="n">
        <v>0.0008518238648072</v>
      </c>
      <c r="K2660" t="n">
        <v>0.9172508785460624</v>
      </c>
      <c r="L2660" t="b">
        <v>0</v>
      </c>
      <c r="M2660" t="b">
        <v>0</v>
      </c>
      <c r="N2660" t="inlineStr">
        <is>
          <t>ref</t>
        </is>
      </c>
      <c r="O2660" t="n">
        <v>50</v>
      </c>
      <c r="P2660" t="n">
        <v>0.001591</v>
      </c>
      <c r="Q2660" t="n">
        <v>-40</v>
      </c>
      <c r="R2660" t="n">
        <v>0.06128</v>
      </c>
      <c r="S2660">
        <f>IMAGE("https://mitra.stanford.edu/kundaje/oak/projects/neuro-variants/variant_position/credible/roussos_2024/variant_figures/roussos_2024.childhood.Astrocyte/rs678585_count_position.png",4,220,900)</f>
        <v/>
      </c>
      <c r="T2660">
        <f>IMAGE("https://mitra.stanford.edu/kundaje/oak/projects/neuro-variants/variant_position/credible/roussos_2024/variant_figures/roussos_2024.childhood.Astrocyte/rs678585_profile_position.png",4,220,900)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0.0004424702199999</v>
      </c>
      <c r="G2661" t="n">
        <v>0.6910131858693336</v>
      </c>
      <c r="H2661" t="n">
        <v>0.0197191907650522</v>
      </c>
      <c r="I2661" t="n">
        <v>0.1323523655394776</v>
      </c>
      <c r="J2661" t="n">
        <v>0.0661873249219542</v>
      </c>
      <c r="K2661" t="n">
        <v>0.4056794883226948</v>
      </c>
      <c r="L2661" t="b">
        <v>0</v>
      </c>
      <c r="M2661" t="b">
        <v>0</v>
      </c>
      <c r="N2661" t="inlineStr">
        <is>
          <t>alt</t>
        </is>
      </c>
      <c r="O2661" t="n">
        <v>-25</v>
      </c>
      <c r="P2661" t="n">
        <v>0.002182</v>
      </c>
      <c r="Q2661" t="n">
        <v>25</v>
      </c>
      <c r="R2661" t="n">
        <v>0.01825</v>
      </c>
      <c r="S2661">
        <f>IMAGE("https://mitra.stanford.edu/kundaje/oak/projects/neuro-variants/variant_position/credible/roussos_2024/variant_figures/roussos_2024.childhood.Astrocyte/rs500298_count_position.png",4,220,900)</f>
        <v/>
      </c>
      <c r="T2661">
        <f>IMAGE("https://mitra.stanford.edu/kundaje/oak/projects/neuro-variants/variant_position/credible/roussos_2024/variant_figures/roussos_2024.childhood.Astrocyte/rs500298_profile_position.png",4,220,900)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0.0560648688</v>
      </c>
      <c r="G2662" t="n">
        <v>0.1821411476972426</v>
      </c>
      <c r="H2662" t="n">
        <v>0.0272418546254934</v>
      </c>
      <c r="I2662" t="n">
        <v>0.0426973243311177</v>
      </c>
      <c r="J2662" t="n">
        <v>0.0028065917122727</v>
      </c>
      <c r="K2662" t="n">
        <v>0.8400402808554123</v>
      </c>
      <c r="L2662" t="b">
        <v>0</v>
      </c>
      <c r="M2662" t="b">
        <v>0</v>
      </c>
      <c r="N2662" t="inlineStr">
        <is>
          <t>alt</t>
        </is>
      </c>
      <c r="O2662" t="n">
        <v>5</v>
      </c>
      <c r="P2662" t="n">
        <v>0.0005493</v>
      </c>
      <c r="Q2662" t="n">
        <v>0</v>
      </c>
      <c r="R2662" t="n">
        <v>0</v>
      </c>
      <c r="S2662">
        <f>IMAGE("https://mitra.stanford.edu/kundaje/oak/projects/neuro-variants/variant_position/credible/roussos_2024/variant_figures/roussos_2024.childhood.Astrocyte/rs658551_count_position.png",4,220,900)</f>
        <v/>
      </c>
      <c r="T2662">
        <f>IMAGE("https://mitra.stanford.edu/kundaje/oak/projects/neuro-variants/variant_position/credible/roussos_2024/variant_figures/roussos_2024.childhood.Astrocyte/rs658551_profile_position.png",4,220,900)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0.0199903118</v>
      </c>
      <c r="G2663" t="n">
        <v>0.5175327703077389</v>
      </c>
      <c r="H2663" t="n">
        <v>0.0158903419113602</v>
      </c>
      <c r="I2663" t="n">
        <v>0.2509749676089005</v>
      </c>
      <c r="J2663" t="n">
        <v>0.0349827879676062</v>
      </c>
      <c r="K2663" t="n">
        <v>0.5024214184579779</v>
      </c>
      <c r="L2663" t="b">
        <v>0</v>
      </c>
      <c r="M2663" t="b">
        <v>0</v>
      </c>
      <c r="N2663" t="inlineStr">
        <is>
          <t>alt</t>
        </is>
      </c>
      <c r="O2663" t="n">
        <v>60</v>
      </c>
      <c r="P2663" t="n">
        <v>0.01087</v>
      </c>
      <c r="Q2663" t="n">
        <v>95</v>
      </c>
      <c r="R2663" t="n">
        <v>0.1282</v>
      </c>
      <c r="S2663">
        <f>IMAGE("https://mitra.stanford.edu/kundaje/oak/projects/neuro-variants/variant_position/credible/roussos_2024/variant_figures/roussos_2024.childhood.Astrocyte/rs627529_count_position.png",4,220,900)</f>
        <v/>
      </c>
      <c r="T2663">
        <f>IMAGE("https://mitra.stanford.edu/kundaje/oak/projects/neuro-variants/variant_position/credible/roussos_2024/variant_figures/roussos_2024.childhood.Astrocyte/rs627529_profile_position.png",4,220,900)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-0.065035381</v>
      </c>
      <c r="G2664" t="n">
        <v>0.1560350499815891</v>
      </c>
      <c r="H2664" t="n">
        <v>0.0181378464307079</v>
      </c>
      <c r="I2664" t="n">
        <v>0.1692410039400938</v>
      </c>
      <c r="J2664" t="n">
        <v>0.0435994901269339</v>
      </c>
      <c r="K2664" t="n">
        <v>0.4788035932052754</v>
      </c>
      <c r="L2664" t="b">
        <v>0</v>
      </c>
      <c r="M2664" t="b">
        <v>0</v>
      </c>
      <c r="N2664" t="inlineStr">
        <is>
          <t>ref</t>
        </is>
      </c>
      <c r="O2664" t="n">
        <v>0</v>
      </c>
      <c r="P2664" t="n">
        <v>0</v>
      </c>
      <c r="Q2664" t="n">
        <v>-35</v>
      </c>
      <c r="R2664" t="n">
        <v>0.008059999999999999</v>
      </c>
      <c r="S2664">
        <f>IMAGE("https://mitra.stanford.edu/kundaje/oak/projects/neuro-variants/variant_position/credible/roussos_2024/variant_figures/roussos_2024.childhood.Astrocyte/rs7617921_count_position.png",4,220,900)</f>
        <v/>
      </c>
      <c r="T2664">
        <f>IMAGE("https://mitra.stanford.edu/kundaje/oak/projects/neuro-variants/variant_position/credible/roussos_2024/variant_figures/roussos_2024.childhood.Astrocyte/rs7617921_profile_position.png",4,220,900)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0.0253116442</v>
      </c>
      <c r="G2665" t="n">
        <v>0.4361733968371897</v>
      </c>
      <c r="H2665" t="n">
        <v>0.0079597712535537</v>
      </c>
      <c r="I2665" t="n">
        <v>0.9006218647142538</v>
      </c>
      <c r="J2665" t="n">
        <v>0.0140612000335844</v>
      </c>
      <c r="K2665" t="n">
        <v>0.6657436527962446</v>
      </c>
      <c r="L2665" t="b">
        <v>0</v>
      </c>
      <c r="M2665" t="b">
        <v>0</v>
      </c>
      <c r="N2665" t="inlineStr">
        <is>
          <t>alt</t>
        </is>
      </c>
      <c r="O2665" t="n">
        <v>55</v>
      </c>
      <c r="P2665" t="n">
        <v>0.01063</v>
      </c>
      <c r="Q2665" t="n">
        <v>-80</v>
      </c>
      <c r="R2665" t="n">
        <v>0.02197</v>
      </c>
      <c r="S2665">
        <f>IMAGE("https://mitra.stanford.edu/kundaje/oak/projects/neuro-variants/variant_position/credible/roussos_2024/variant_figures/roussos_2024.childhood.Astrocyte/rs613707_count_position.png",4,220,900)</f>
        <v/>
      </c>
      <c r="T2665">
        <f>IMAGE("https://mitra.stanford.edu/kundaje/oak/projects/neuro-variants/variant_position/credible/roussos_2024/variant_figures/roussos_2024.childhood.Astrocyte/rs613707_profile_position.png",4,220,900)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-0.06460421899999989</v>
      </c>
      <c r="G2666" t="n">
        <v>0.1502275979299295</v>
      </c>
      <c r="H2666" t="n">
        <v>0.0112988934384075</v>
      </c>
      <c r="I2666" t="n">
        <v>0.5766415252143444</v>
      </c>
      <c r="J2666" t="n">
        <v>0.0046346545762633</v>
      </c>
      <c r="K2666" t="n">
        <v>0.7805109845076419</v>
      </c>
      <c r="L2666" t="b">
        <v>0</v>
      </c>
      <c r="M2666" t="b">
        <v>0</v>
      </c>
      <c r="N2666" t="inlineStr">
        <is>
          <t>ref</t>
        </is>
      </c>
      <c r="O2666" t="n">
        <v>100</v>
      </c>
      <c r="P2666" t="n">
        <v>0.02298</v>
      </c>
      <c r="Q2666" t="n">
        <v>-100</v>
      </c>
      <c r="R2666" t="n">
        <v>0.05505</v>
      </c>
      <c r="S2666">
        <f>IMAGE("https://mitra.stanford.edu/kundaje/oak/projects/neuro-variants/variant_position/credible/roussos_2024/variant_figures/roussos_2024.childhood.Astrocyte/rs9832758_count_position.png",4,220,900)</f>
        <v/>
      </c>
      <c r="T2666">
        <f>IMAGE("https://mitra.stanford.edu/kundaje/oak/projects/neuro-variants/variant_position/credible/roussos_2024/variant_figures/roussos_2024.childhood.Astrocyte/rs9832758_profile_position.png",4,220,900)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0.00916245288</v>
      </c>
      <c r="G2667" t="n">
        <v>0.7287215417371633</v>
      </c>
      <c r="H2667" t="n">
        <v>0.013852721155655</v>
      </c>
      <c r="I2667" t="n">
        <v>0.3655222089883973</v>
      </c>
      <c r="J2667" t="n">
        <v>0.0017112805599443</v>
      </c>
      <c r="K2667" t="n">
        <v>0.8718547148382156</v>
      </c>
      <c r="L2667" t="b">
        <v>0</v>
      </c>
      <c r="M2667" t="b">
        <v>0</v>
      </c>
      <c r="N2667" t="inlineStr">
        <is>
          <t>alt</t>
        </is>
      </c>
      <c r="O2667" t="n">
        <v>-15</v>
      </c>
      <c r="P2667" t="n">
        <v>0.001129</v>
      </c>
      <c r="Q2667" t="n">
        <v>-30</v>
      </c>
      <c r="R2667" t="n">
        <v>0.04156</v>
      </c>
      <c r="S2667">
        <f>IMAGE("https://mitra.stanford.edu/kundaje/oak/projects/neuro-variants/variant_position/credible/roussos_2024/variant_figures/roussos_2024.childhood.Astrocyte/rs7633748_count_position.png",4,220,900)</f>
        <v/>
      </c>
      <c r="T2667">
        <f>IMAGE("https://mitra.stanford.edu/kundaje/oak/projects/neuro-variants/variant_position/credible/roussos_2024/variant_figures/roussos_2024.childhood.Astrocyte/rs7633748_profile_position.png",4,220,900)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0.24440889</v>
      </c>
      <c r="G2668" t="n">
        <v>0.0113604098586548</v>
      </c>
      <c r="H2668" t="n">
        <v>0.0239161258202033</v>
      </c>
      <c r="I2668" t="n">
        <v>0.0806580456321446</v>
      </c>
      <c r="J2668" t="n">
        <v>0.0065756833291352</v>
      </c>
      <c r="K2668" t="n">
        <v>0.742984074956654</v>
      </c>
      <c r="L2668" t="b">
        <v>1</v>
      </c>
      <c r="M2668" t="b">
        <v>0</v>
      </c>
      <c r="N2668" t="inlineStr">
        <is>
          <t>alt</t>
        </is>
      </c>
      <c r="O2668" t="n">
        <v>-50</v>
      </c>
      <c r="P2668" t="n">
        <v>0.00216</v>
      </c>
      <c r="Q2668" t="n">
        <v>100</v>
      </c>
      <c r="R2668" t="n">
        <v>0.03345</v>
      </c>
      <c r="S2668">
        <f>IMAGE("https://mitra.stanford.edu/kundaje/oak/projects/neuro-variants/variant_position/credible/roussos_2024/variant_figures/roussos_2024.childhood.Astrocyte/rs9865863_count_position.png",4,220,900)</f>
        <v/>
      </c>
      <c r="T2668">
        <f>IMAGE("https://mitra.stanford.edu/kundaje/oak/projects/neuro-variants/variant_position/credible/roussos_2024/variant_figures/roussos_2024.childhood.Astrocyte/rs9865863_profile_position.png",4,220,900)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0.0463046226</v>
      </c>
      <c r="G2669" t="n">
        <v>0.2387798165261474</v>
      </c>
      <c r="H2669" t="n">
        <v>0.0093839427429329</v>
      </c>
      <c r="I2669" t="n">
        <v>0.7486501523139889</v>
      </c>
      <c r="J2669" t="n">
        <v>0.0102211230946546</v>
      </c>
      <c r="K2669" t="n">
        <v>0.701623282417244</v>
      </c>
      <c r="L2669" t="b">
        <v>0</v>
      </c>
      <c r="M2669" t="b">
        <v>0</v>
      </c>
      <c r="N2669" t="inlineStr">
        <is>
          <t>alt</t>
        </is>
      </c>
      <c r="O2669" t="n">
        <v>-75</v>
      </c>
      <c r="P2669" t="n">
        <v>0.00272</v>
      </c>
      <c r="Q2669" t="n">
        <v>100</v>
      </c>
      <c r="R2669" t="n">
        <v>0.0678</v>
      </c>
      <c r="S2669">
        <f>IMAGE("https://mitra.stanford.edu/kundaje/oak/projects/neuro-variants/variant_position/credible/roussos_2024/variant_figures/roussos_2024.childhood.Astrocyte/rs9812564_count_position.png",4,220,900)</f>
        <v/>
      </c>
      <c r="T2669">
        <f>IMAGE("https://mitra.stanford.edu/kundaje/oak/projects/neuro-variants/variant_position/credible/roussos_2024/variant_figures/roussos_2024.childhood.Astrocyte/rs9812564_profile_position.png",4,220,900)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-0.01277095924</v>
      </c>
      <c r="G2670" t="n">
        <v>0.6693779495213091</v>
      </c>
      <c r="H2670" t="n">
        <v>0.0273610415596546</v>
      </c>
      <c r="I2670" t="n">
        <v>0.0421428682227657</v>
      </c>
      <c r="J2670" t="n">
        <v>0.0026409592941158</v>
      </c>
      <c r="K2670" t="n">
        <v>0.843557918733972</v>
      </c>
      <c r="L2670" t="b">
        <v>0</v>
      </c>
      <c r="M2670" t="b">
        <v>0</v>
      </c>
      <c r="N2670" t="inlineStr">
        <is>
          <t>ref</t>
        </is>
      </c>
      <c r="O2670" t="n">
        <v>-90</v>
      </c>
      <c r="P2670" t="n">
        <v>0.012634</v>
      </c>
      <c r="Q2670" t="n">
        <v>-100</v>
      </c>
      <c r="R2670" t="n">
        <v>0.1481</v>
      </c>
      <c r="S2670">
        <f>IMAGE("https://mitra.stanford.edu/kundaje/oak/projects/neuro-variants/variant_position/credible/roussos_2024/variant_figures/roussos_2024.childhood.Astrocyte/rs78929026_count_position.png",4,220,900)</f>
        <v/>
      </c>
      <c r="T2670">
        <f>IMAGE("https://mitra.stanford.edu/kundaje/oak/projects/neuro-variants/variant_position/credible/roussos_2024/variant_figures/roussos_2024.childhood.Astrocyte/rs78929026_profile_position.png",4,220,900)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-0.0672803</v>
      </c>
      <c r="G2671" t="n">
        <v>0.1410792487763983</v>
      </c>
      <c r="H2671" t="n">
        <v>0.0212741289551381</v>
      </c>
      <c r="I2671" t="n">
        <v>0.1016826514260866</v>
      </c>
      <c r="J2671" t="n">
        <v>0.0003472937800065</v>
      </c>
      <c r="K2671" t="n">
        <v>0.9552542305496602</v>
      </c>
      <c r="L2671" t="b">
        <v>0</v>
      </c>
      <c r="M2671" t="b">
        <v>0</v>
      </c>
      <c r="N2671" t="inlineStr">
        <is>
          <t>ref</t>
        </is>
      </c>
      <c r="O2671" t="n">
        <v>85</v>
      </c>
      <c r="P2671" t="n">
        <v>0.00707</v>
      </c>
      <c r="Q2671" t="n">
        <v>100</v>
      </c>
      <c r="R2671" t="n">
        <v>0.1015</v>
      </c>
      <c r="S2671">
        <f>IMAGE("https://mitra.stanford.edu/kundaje/oak/projects/neuro-variants/variant_position/credible/roussos_2024/variant_figures/roussos_2024.childhood.Astrocyte/rs9831201_count_position.png",4,220,900)</f>
        <v/>
      </c>
      <c r="T2671">
        <f>IMAGE("https://mitra.stanford.edu/kundaje/oak/projects/neuro-variants/variant_position/credible/roussos_2024/variant_figures/roussos_2024.childhood.Astrocyte/rs9831201_profile_position.png",4,220,900)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-0.0163360132</v>
      </c>
      <c r="G2672" t="n">
        <v>0.5986680828227956</v>
      </c>
      <c r="H2672" t="n">
        <v>0.0500887601414864</v>
      </c>
      <c r="I2672" t="n">
        <v>0.0040298897914884</v>
      </c>
      <c r="J2672" t="n">
        <v>0.0001228885683099</v>
      </c>
      <c r="K2672" t="n">
        <v>0.9844955189214858</v>
      </c>
      <c r="L2672" t="b">
        <v>0</v>
      </c>
      <c r="M2672" t="b">
        <v>0</v>
      </c>
      <c r="N2672" t="inlineStr">
        <is>
          <t>ref</t>
        </is>
      </c>
      <c r="O2672" t="n">
        <v>50</v>
      </c>
      <c r="P2672" t="n">
        <v>0.002167</v>
      </c>
      <c r="Q2672" t="n">
        <v>55</v>
      </c>
      <c r="R2672" t="n">
        <v>0.10345</v>
      </c>
      <c r="S2672">
        <f>IMAGE("https://mitra.stanford.edu/kundaje/oak/projects/neuro-variants/variant_position/credible/roussos_2024/variant_figures/roussos_2024.childhood.Astrocyte/rs9839468_count_position.png",4,220,900)</f>
        <v/>
      </c>
      <c r="T2672">
        <f>IMAGE("https://mitra.stanford.edu/kundaje/oak/projects/neuro-variants/variant_position/credible/roussos_2024/variant_figures/roussos_2024.childhood.Astrocyte/rs9839468_profile_position.png",4,220,900)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-0.0277465291999999</v>
      </c>
      <c r="G2673" t="n">
        <v>0.4245214358393476</v>
      </c>
      <c r="H2673" t="n">
        <v>0.0162692221662923</v>
      </c>
      <c r="I2673" t="n">
        <v>0.2371768541985153</v>
      </c>
      <c r="J2673" t="n">
        <v>0.09781090426140911</v>
      </c>
      <c r="K2673" t="n">
        <v>0.3281271416109952</v>
      </c>
      <c r="L2673" t="b">
        <v>0</v>
      </c>
      <c r="M2673" t="b">
        <v>0</v>
      </c>
      <c r="N2673" t="inlineStr">
        <is>
          <t>ref</t>
        </is>
      </c>
      <c r="O2673" t="n">
        <v>100</v>
      </c>
      <c r="P2673" t="n">
        <v>0.01119</v>
      </c>
      <c r="Q2673" t="n">
        <v>100</v>
      </c>
      <c r="R2673" t="n">
        <v>0.1559</v>
      </c>
      <c r="S2673">
        <f>IMAGE("https://mitra.stanford.edu/kundaje/oak/projects/neuro-variants/variant_position/credible/roussos_2024/variant_figures/roussos_2024.childhood.Astrocyte/rs2679046_count_position.png",4,220,900)</f>
        <v/>
      </c>
      <c r="T2673">
        <f>IMAGE("https://mitra.stanford.edu/kundaje/oak/projects/neuro-variants/variant_position/credible/roussos_2024/variant_figures/roussos_2024.childhood.Astrocyte/rs2679046_profile_position.png",4,220,900)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0.0156090145999999</v>
      </c>
      <c r="G2674" t="n">
        <v>0.6063633889842071</v>
      </c>
      <c r="H2674" t="n">
        <v>0.0088660715477139</v>
      </c>
      <c r="I2674" t="n">
        <v>0.8278807981596051</v>
      </c>
      <c r="J2674" t="n">
        <v>0.0011128666620869</v>
      </c>
      <c r="K2674" t="n">
        <v>0.9043833078081396</v>
      </c>
      <c r="L2674" t="b">
        <v>0</v>
      </c>
      <c r="M2674" t="b">
        <v>0</v>
      </c>
      <c r="N2674" t="inlineStr">
        <is>
          <t>alt</t>
        </is>
      </c>
      <c r="O2674" t="n">
        <v>85</v>
      </c>
      <c r="P2674" t="n">
        <v>0.005913</v>
      </c>
      <c r="Q2674" t="n">
        <v>85</v>
      </c>
      <c r="R2674" t="n">
        <v>0.063</v>
      </c>
      <c r="S2674">
        <f>IMAGE("https://mitra.stanford.edu/kundaje/oak/projects/neuro-variants/variant_position/credible/roussos_2024/variant_figures/roussos_2024.childhood.Astrocyte/rs2679042_count_position.png",4,220,900)</f>
        <v/>
      </c>
      <c r="T2674">
        <f>IMAGE("https://mitra.stanford.edu/kundaje/oak/projects/neuro-variants/variant_position/credible/roussos_2024/variant_figures/roussos_2024.childhood.Astrocyte/rs2679042_profile_position.png",4,220,900)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0.0320287556</v>
      </c>
      <c r="G2675" t="n">
        <v>0.3548924351910719</v>
      </c>
      <c r="H2675" t="n">
        <v>0.0286311389463414</v>
      </c>
      <c r="I2675" t="n">
        <v>0.0356899648948764</v>
      </c>
      <c r="J2675" t="n">
        <v>0.0113385694549395</v>
      </c>
      <c r="K2675" t="n">
        <v>0.6776301264677211</v>
      </c>
      <c r="L2675" t="b">
        <v>0</v>
      </c>
      <c r="M2675" t="b">
        <v>0</v>
      </c>
      <c r="N2675" t="inlineStr">
        <is>
          <t>alt</t>
        </is>
      </c>
      <c r="O2675" t="n">
        <v>-85</v>
      </c>
      <c r="P2675" t="n">
        <v>0.00478</v>
      </c>
      <c r="Q2675" t="n">
        <v>85</v>
      </c>
      <c r="R2675" t="n">
        <v>0.1184</v>
      </c>
      <c r="S2675">
        <f>IMAGE("https://mitra.stanford.edu/kundaje/oak/projects/neuro-variants/variant_position/credible/roussos_2024/variant_figures/roussos_2024.childhood.Astrocyte/rs2372667_count_position.png",4,220,900)</f>
        <v/>
      </c>
      <c r="T2675">
        <f>IMAGE("https://mitra.stanford.edu/kundaje/oak/projects/neuro-variants/variant_position/credible/roussos_2024/variant_figures/roussos_2024.childhood.Astrocyte/rs2372667_profile_position.png",4,220,900)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-0.100008885</v>
      </c>
      <c r="G2676" t="n">
        <v>0.0728008232144593</v>
      </c>
      <c r="H2676" t="n">
        <v>0.0236341535136007</v>
      </c>
      <c r="I2676" t="n">
        <v>0.0717740776875974</v>
      </c>
      <c r="J2676" t="n">
        <v>0.1588498851259034</v>
      </c>
      <c r="K2676" t="n">
        <v>0.2535722560104022</v>
      </c>
      <c r="L2676" t="b">
        <v>0</v>
      </c>
      <c r="M2676" t="b">
        <v>0</v>
      </c>
      <c r="N2676" t="inlineStr">
        <is>
          <t>ref</t>
        </is>
      </c>
      <c r="O2676" t="n">
        <v>-50</v>
      </c>
      <c r="P2676" t="n">
        <v>0.02087</v>
      </c>
      <c r="Q2676" t="n">
        <v>-90</v>
      </c>
      <c r="R2676" t="n">
        <v>0.0886</v>
      </c>
      <c r="S2676">
        <f>IMAGE("https://mitra.stanford.edu/kundaje/oak/projects/neuro-variants/variant_position/credible/roussos_2024/variant_figures/roussos_2024.childhood.Astrocyte/rs2250739_count_position.png",4,220,900)</f>
        <v/>
      </c>
      <c r="T2676">
        <f>IMAGE("https://mitra.stanford.edu/kundaje/oak/projects/neuro-variants/variant_position/credible/roussos_2024/variant_figures/roussos_2024.childhood.Astrocyte/rs2250739_profile_position.png",4,220,900)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-0.0508556229999999</v>
      </c>
      <c r="G2677" t="n">
        <v>0.2365163050412375</v>
      </c>
      <c r="H2677" t="n">
        <v>0.0145749985404264</v>
      </c>
      <c r="I2677" t="n">
        <v>0.3219831664473702</v>
      </c>
      <c r="J2677" t="n">
        <v>0.0172311144695564</v>
      </c>
      <c r="K2677" t="n">
        <v>0.6327342322026813</v>
      </c>
      <c r="L2677" t="b">
        <v>0</v>
      </c>
      <c r="M2677" t="b">
        <v>0</v>
      </c>
      <c r="N2677" t="inlineStr">
        <is>
          <t>ref</t>
        </is>
      </c>
      <c r="O2677" t="n">
        <v>100</v>
      </c>
      <c r="P2677" t="n">
        <v>0.004894</v>
      </c>
      <c r="Q2677" t="n">
        <v>0</v>
      </c>
      <c r="R2677" t="n">
        <v>0</v>
      </c>
      <c r="S2677">
        <f>IMAGE("https://mitra.stanford.edu/kundaje/oak/projects/neuro-variants/variant_position/credible/roussos_2024/variant_figures/roussos_2024.childhood.Astrocyte/rs2639255_count_position.png",4,220,900)</f>
        <v/>
      </c>
      <c r="T2677">
        <f>IMAGE("https://mitra.stanford.edu/kundaje/oak/projects/neuro-variants/variant_position/credible/roussos_2024/variant_figures/roussos_2024.childhood.Astrocyte/rs2639255_profile_position.png",4,220,900)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-0.01211575708</v>
      </c>
      <c r="G2678" t="n">
        <v>0.5928366631561072</v>
      </c>
      <c r="H2678" t="n">
        <v>0.0337177206506775</v>
      </c>
      <c r="I2678" t="n">
        <v>0.0189088061218342</v>
      </c>
      <c r="J2678" t="n">
        <v>0.0042820178150259</v>
      </c>
      <c r="K2678" t="n">
        <v>0.7967253895824937</v>
      </c>
      <c r="L2678" t="b">
        <v>0</v>
      </c>
      <c r="M2678" t="b">
        <v>0</v>
      </c>
      <c r="N2678" t="inlineStr">
        <is>
          <t>ref</t>
        </is>
      </c>
      <c r="O2678" t="n">
        <v>0</v>
      </c>
      <c r="P2678" t="n">
        <v>0</v>
      </c>
      <c r="Q2678" t="n">
        <v>100</v>
      </c>
      <c r="R2678" t="n">
        <v>0.01376</v>
      </c>
      <c r="S2678">
        <f>IMAGE("https://mitra.stanford.edu/kundaje/oak/projects/neuro-variants/variant_position/credible/roussos_2024/variant_figures/roussos_2024.childhood.Astrocyte/rs2639254_count_position.png",4,220,900)</f>
        <v/>
      </c>
      <c r="T2678">
        <f>IMAGE("https://mitra.stanford.edu/kundaje/oak/projects/neuro-variants/variant_position/credible/roussos_2024/variant_figures/roussos_2024.childhood.Astrocyte/rs2639254_profile_position.png",4,220,900)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-0.054571017</v>
      </c>
      <c r="G2679" t="n">
        <v>0.093673204126983</v>
      </c>
      <c r="H2679" t="n">
        <v>0.03784948933698</v>
      </c>
      <c r="I2679" t="n">
        <v>0.0169674173883236</v>
      </c>
      <c r="J2679" t="n">
        <v>0.0181890346759481</v>
      </c>
      <c r="K2679" t="n">
        <v>0.6200416242533101</v>
      </c>
      <c r="L2679" t="b">
        <v>1</v>
      </c>
      <c r="M2679" t="b">
        <v>0</v>
      </c>
      <c r="N2679" t="inlineStr">
        <is>
          <t>ref</t>
        </is>
      </c>
      <c r="O2679" t="n">
        <v>-15</v>
      </c>
      <c r="P2679" t="n">
        <v>0.0004883</v>
      </c>
      <c r="Q2679" t="n">
        <v>-15</v>
      </c>
      <c r="R2679" t="n">
        <v>0.01465</v>
      </c>
      <c r="S2679">
        <f>IMAGE("https://mitra.stanford.edu/kundaje/oak/projects/neuro-variants/variant_position/credible/roussos_2024/variant_figures/roussos_2024.childhood.Astrocyte/rs2639213_count_position.png",4,220,900)</f>
        <v/>
      </c>
      <c r="T2679">
        <f>IMAGE("https://mitra.stanford.edu/kundaje/oak/projects/neuro-variants/variant_position/credible/roussos_2024/variant_figures/roussos_2024.childhood.Astrocyte/rs2639213_profile_position.png",4,220,900)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0.152197014</v>
      </c>
      <c r="G2680" t="n">
        <v>0.0295314772179038</v>
      </c>
      <c r="H2680" t="n">
        <v>0.0199804666806966</v>
      </c>
      <c r="I2680" t="n">
        <v>0.1289339569563192</v>
      </c>
      <c r="J2680" t="n">
        <v>0.5340088388175219</v>
      </c>
      <c r="K2680" t="n">
        <v>0.0474570284886239</v>
      </c>
      <c r="L2680" t="b">
        <v>0</v>
      </c>
      <c r="M2680" t="b">
        <v>0</v>
      </c>
      <c r="N2680" t="inlineStr">
        <is>
          <t>alt</t>
        </is>
      </c>
      <c r="O2680" t="n">
        <v>-100</v>
      </c>
      <c r="P2680" t="n">
        <v>0.006027</v>
      </c>
      <c r="Q2680" t="n">
        <v>-35</v>
      </c>
      <c r="R2680" t="n">
        <v>0.01758</v>
      </c>
      <c r="S2680">
        <f>IMAGE("https://mitra.stanford.edu/kundaje/oak/projects/neuro-variants/variant_position/credible/roussos_2024/variant_figures/roussos_2024.childhood.Astrocyte/rs7644809_count_position.png",4,220,900)</f>
        <v/>
      </c>
      <c r="T2680">
        <f>IMAGE("https://mitra.stanford.edu/kundaje/oak/projects/neuro-variants/variant_position/credible/roussos_2024/variant_figures/roussos_2024.childhood.Astrocyte/rs7644809_profile_position.png",4,220,900)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0.0132136285</v>
      </c>
      <c r="G2681" t="n">
        <v>0.5798430968949766</v>
      </c>
      <c r="H2681" t="n">
        <v>0.0105796022226068</v>
      </c>
      <c r="I2681" t="n">
        <v>0.6596956752694154</v>
      </c>
      <c r="J2681" t="n">
        <v>0.0066321662735758</v>
      </c>
      <c r="K2681" t="n">
        <v>0.7637189264514666</v>
      </c>
      <c r="L2681" t="b">
        <v>0</v>
      </c>
      <c r="M2681" t="b">
        <v>0</v>
      </c>
      <c r="N2681" t="inlineStr">
        <is>
          <t>alt</t>
        </is>
      </c>
      <c r="O2681" t="n">
        <v>-35</v>
      </c>
      <c r="P2681" t="n">
        <v>0.002602</v>
      </c>
      <c r="Q2681" t="n">
        <v>-50</v>
      </c>
      <c r="R2681" t="n">
        <v>0.11664</v>
      </c>
      <c r="S2681">
        <f>IMAGE("https://mitra.stanford.edu/kundaje/oak/projects/neuro-variants/variant_position/credible/roussos_2024/variant_figures/roussos_2024.childhood.Astrocyte/rs3206652_count_position.png",4,220,900)</f>
        <v/>
      </c>
      <c r="T2681">
        <f>IMAGE("https://mitra.stanford.edu/kundaje/oak/projects/neuro-variants/variant_position/credible/roussos_2024/variant_figures/roussos_2024.childhood.Astrocyte/rs3206652_profile_position.png",4,220,900)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-0.010720896</v>
      </c>
      <c r="G2682" t="n">
        <v>0.7087062721863845</v>
      </c>
      <c r="H2682" t="n">
        <v>0.0346544597842792</v>
      </c>
      <c r="I2682" t="n">
        <v>0.0172316069810086</v>
      </c>
      <c r="J2682" t="n">
        <v>0.008927358353751099</v>
      </c>
      <c r="K2682" t="n">
        <v>0.7192905085328265</v>
      </c>
      <c r="L2682" t="b">
        <v>0</v>
      </c>
      <c r="M2682" t="b">
        <v>0</v>
      </c>
      <c r="N2682" t="inlineStr">
        <is>
          <t>ref</t>
        </is>
      </c>
      <c r="O2682" t="n">
        <v>35</v>
      </c>
      <c r="P2682" t="n">
        <v>0.003098</v>
      </c>
      <c r="Q2682" t="n">
        <v>-75</v>
      </c>
      <c r="R2682" t="n">
        <v>0.08484</v>
      </c>
      <c r="S2682">
        <f>IMAGE("https://mitra.stanford.edu/kundaje/oak/projects/neuro-variants/variant_position/credible/roussos_2024/variant_figures/roussos_2024.childhood.Astrocyte/rs3804638_count_position.png",4,220,900)</f>
        <v/>
      </c>
      <c r="T2682">
        <f>IMAGE("https://mitra.stanford.edu/kundaje/oak/projects/neuro-variants/variant_position/credible/roussos_2024/variant_figures/roussos_2024.childhood.Astrocyte/rs3804638_profile_position.png",4,220,900)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-0.004955100374</v>
      </c>
      <c r="G2683" t="n">
        <v>0.8575017526291281</v>
      </c>
      <c r="H2683" t="n">
        <v>0.0087647440978514</v>
      </c>
      <c r="I2683" t="n">
        <v>0.8387923468388533</v>
      </c>
      <c r="J2683" t="n">
        <v>0.1168113088014165</v>
      </c>
      <c r="K2683" t="n">
        <v>0.3016282542546946</v>
      </c>
      <c r="L2683" t="b">
        <v>0</v>
      </c>
      <c r="M2683" t="b">
        <v>0</v>
      </c>
      <c r="N2683" t="inlineStr">
        <is>
          <t>ref</t>
        </is>
      </c>
      <c r="O2683" t="n">
        <v>95</v>
      </c>
      <c r="P2683" t="n">
        <v>0.00357</v>
      </c>
      <c r="Q2683" t="n">
        <v>90</v>
      </c>
      <c r="R2683" t="n">
        <v>0.03485</v>
      </c>
      <c r="S2683">
        <f>IMAGE("https://mitra.stanford.edu/kundaje/oak/projects/neuro-variants/variant_position/credible/roussos_2024/variant_figures/roussos_2024.childhood.Astrocyte/rs7628325_count_position.png",4,220,900)</f>
        <v/>
      </c>
      <c r="T2683">
        <f>IMAGE("https://mitra.stanford.edu/kundaje/oak/projects/neuro-variants/variant_position/credible/roussos_2024/variant_figures/roussos_2024.childhood.Astrocyte/rs7628325_profile_position.png",4,220,900)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0.0210596122799999</v>
      </c>
      <c r="G2684" t="n">
        <v>0.508536957684279</v>
      </c>
      <c r="H2684" t="n">
        <v>0.0171540577192255</v>
      </c>
      <c r="I2684" t="n">
        <v>0.2033345966881429</v>
      </c>
      <c r="J2684" t="n">
        <v>0.3453474082724614</v>
      </c>
      <c r="K2684" t="n">
        <v>0.1099923202160243</v>
      </c>
      <c r="L2684" t="b">
        <v>0</v>
      </c>
      <c r="M2684" t="b">
        <v>0</v>
      </c>
      <c r="N2684" t="inlineStr">
        <is>
          <t>alt</t>
        </is>
      </c>
      <c r="O2684" t="n">
        <v>-100</v>
      </c>
      <c r="P2684" t="n">
        <v>0.01077</v>
      </c>
      <c r="Q2684" t="n">
        <v>-90</v>
      </c>
      <c r="R2684" t="n">
        <v>0.07135</v>
      </c>
      <c r="S2684">
        <f>IMAGE("https://mitra.stanford.edu/kundaje/oak/projects/neuro-variants/variant_position/credible/roussos_2024/variant_figures/roussos_2024.childhood.Astrocyte/rs34910554_count_position.png",4,220,900)</f>
        <v/>
      </c>
      <c r="T2684">
        <f>IMAGE("https://mitra.stanford.edu/kundaje/oak/projects/neuro-variants/variant_position/credible/roussos_2024/variant_figures/roussos_2024.childhood.Astrocyte/rs34910554_profile_position.png",4,220,900)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-0.0988652738</v>
      </c>
      <c r="G2685" t="n">
        <v>0.0740960729752112</v>
      </c>
      <c r="H2685" t="n">
        <v>0.0200895210221026</v>
      </c>
      <c r="I2685" t="n">
        <v>0.125195002234815</v>
      </c>
      <c r="J2685" t="n">
        <v>0.4031462526619496</v>
      </c>
      <c r="K2685" t="n">
        <v>0.0846289380849078</v>
      </c>
      <c r="L2685" t="b">
        <v>0</v>
      </c>
      <c r="M2685" t="b">
        <v>0</v>
      </c>
      <c r="N2685" t="inlineStr">
        <is>
          <t>ref</t>
        </is>
      </c>
      <c r="O2685" t="n">
        <v>-100</v>
      </c>
      <c r="P2685" t="n">
        <v>0.05817</v>
      </c>
      <c r="Q2685" t="n">
        <v>-95</v>
      </c>
      <c r="R2685" t="n">
        <v>0.4446</v>
      </c>
      <c r="S2685">
        <f>IMAGE("https://mitra.stanford.edu/kundaje/oak/projects/neuro-variants/variant_position/credible/roussos_2024/variant_figures/roussos_2024.childhood.Astrocyte/rs17231503_count_position.png",4,220,900)</f>
        <v/>
      </c>
      <c r="T2685">
        <f>IMAGE("https://mitra.stanford.edu/kundaje/oak/projects/neuro-variants/variant_position/credible/roussos_2024/variant_figures/roussos_2024.childhood.Astrocyte/rs17231503_profile_position.png",4,220,900)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0.0115772584</v>
      </c>
      <c r="G2686" t="n">
        <v>0.6024178836075796</v>
      </c>
      <c r="H2686" t="n">
        <v>0.0109343006022916</v>
      </c>
      <c r="I2686" t="n">
        <v>0.6188605216693849</v>
      </c>
      <c r="J2686" t="n">
        <v>0.053269522871776</v>
      </c>
      <c r="K2686" t="n">
        <v>0.4441952096745678</v>
      </c>
      <c r="L2686" t="b">
        <v>0</v>
      </c>
      <c r="M2686" t="b">
        <v>0</v>
      </c>
      <c r="N2686" t="inlineStr">
        <is>
          <t>alt</t>
        </is>
      </c>
      <c r="O2686" t="n">
        <v>15</v>
      </c>
      <c r="P2686" t="n">
        <v>0.0004425</v>
      </c>
      <c r="Q2686" t="n">
        <v>45</v>
      </c>
      <c r="R2686" t="n">
        <v>0.1112</v>
      </c>
      <c r="S2686">
        <f>IMAGE("https://mitra.stanford.edu/kundaje/oak/projects/neuro-variants/variant_position/credible/roussos_2024/variant_figures/roussos_2024.childhood.Astrocyte/rs326361_count_position.png",4,220,900)</f>
        <v/>
      </c>
      <c r="T2686">
        <f>IMAGE("https://mitra.stanford.edu/kundaje/oak/projects/neuro-variants/variant_position/credible/roussos_2024/variant_figures/roussos_2024.childhood.Astrocyte/rs326361_profile_position.png",4,220,900)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0.0460425404</v>
      </c>
      <c r="G2687" t="n">
        <v>0.2400498873729601</v>
      </c>
      <c r="H2687" t="n">
        <v>0.0074293874249681</v>
      </c>
      <c r="I2687" t="n">
        <v>0.9416154815299757</v>
      </c>
      <c r="J2687" t="n">
        <v>0.0007014571073099</v>
      </c>
      <c r="K2687" t="n">
        <v>0.9279175136224664</v>
      </c>
      <c r="L2687" t="b">
        <v>0</v>
      </c>
      <c r="M2687" t="b">
        <v>0</v>
      </c>
      <c r="N2687" t="inlineStr">
        <is>
          <t>alt</t>
        </is>
      </c>
      <c r="O2687" t="n">
        <v>70</v>
      </c>
      <c r="P2687" t="n">
        <v>0.01926</v>
      </c>
      <c r="Q2687" t="n">
        <v>80</v>
      </c>
      <c r="R2687" t="n">
        <v>0.02783</v>
      </c>
      <c r="S2687">
        <f>IMAGE("https://mitra.stanford.edu/kundaje/oak/projects/neuro-variants/variant_position/credible/roussos_2024/variant_figures/roussos_2024.childhood.Astrocyte/rs60140727_count_position.png",4,220,900)</f>
        <v/>
      </c>
      <c r="T2687">
        <f>IMAGE("https://mitra.stanford.edu/kundaje/oak/projects/neuro-variants/variant_position/credible/roussos_2024/variant_figures/roussos_2024.childhood.Astrocyte/rs60140727_profile_position.png",4,220,900)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0.00698648016</v>
      </c>
      <c r="G2688" t="n">
        <v>0.7869605702065532</v>
      </c>
      <c r="H2688" t="n">
        <v>0.022661911020627</v>
      </c>
      <c r="I2688" t="n">
        <v>0.0822643461040997</v>
      </c>
      <c r="J2688" t="n">
        <v>0.0118614183325318</v>
      </c>
      <c r="K2688" t="n">
        <v>0.671621624913845</v>
      </c>
      <c r="L2688" t="b">
        <v>0</v>
      </c>
      <c r="M2688" t="b">
        <v>0</v>
      </c>
      <c r="N2688" t="inlineStr">
        <is>
          <t>alt</t>
        </is>
      </c>
      <c r="O2688" t="n">
        <v>40</v>
      </c>
      <c r="P2688" t="n">
        <v>0.02023</v>
      </c>
      <c r="Q2688" t="n">
        <v>70</v>
      </c>
      <c r="R2688" t="n">
        <v>0.1044</v>
      </c>
      <c r="S2688">
        <f>IMAGE("https://mitra.stanford.edu/kundaje/oak/projects/neuro-variants/variant_position/credible/roussos_2024/variant_figures/roussos_2024.childhood.Astrocyte/rs10514750_count_position.png",4,220,900)</f>
        <v/>
      </c>
      <c r="T2688">
        <f>IMAGE("https://mitra.stanford.edu/kundaje/oak/projects/neuro-variants/variant_position/credible/roussos_2024/variant_figures/roussos_2024.childhood.Astrocyte/rs10514750_profile_position.png",4,220,900)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0.204653742</v>
      </c>
      <c r="G2689" t="n">
        <v>0.0157002967342494</v>
      </c>
      <c r="H2689" t="n">
        <v>0.0223393676593552</v>
      </c>
      <c r="I2689" t="n">
        <v>0.0868541115179027</v>
      </c>
      <c r="J2689" t="n">
        <v>0.107284009983742</v>
      </c>
      <c r="K2689" t="n">
        <v>0.3212378228395897</v>
      </c>
      <c r="L2689" t="b">
        <v>1</v>
      </c>
      <c r="M2689" t="b">
        <v>0</v>
      </c>
      <c r="N2689" t="inlineStr">
        <is>
          <t>alt</t>
        </is>
      </c>
      <c r="O2689" t="n">
        <v>55</v>
      </c>
      <c r="P2689" t="n">
        <v>0.04907</v>
      </c>
      <c r="Q2689" t="n">
        <v>40</v>
      </c>
      <c r="R2689" t="n">
        <v>0.169</v>
      </c>
      <c r="S2689">
        <f>IMAGE("https://mitra.stanford.edu/kundaje/oak/projects/neuro-variants/variant_position/credible/roussos_2024/variant_figures/roussos_2024.childhood.Astrocyte/rs11926978_count_position.png",4,220,900)</f>
        <v/>
      </c>
      <c r="T2689">
        <f>IMAGE("https://mitra.stanford.edu/kundaje/oak/projects/neuro-variants/variant_position/credible/roussos_2024/variant_figures/roussos_2024.childhood.Astrocyte/rs11926978_profile_position.png",4,220,900)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0.1028350381999999</v>
      </c>
      <c r="G2690" t="n">
        <v>0.07972763783817401</v>
      </c>
      <c r="H2690" t="n">
        <v>0.026624443435639</v>
      </c>
      <c r="I2690" t="n">
        <v>0.0480280798313336</v>
      </c>
      <c r="J2690" t="n">
        <v>0.1090204788837748</v>
      </c>
      <c r="K2690" t="n">
        <v>0.324557232802393</v>
      </c>
      <c r="L2690" t="b">
        <v>0</v>
      </c>
      <c r="M2690" t="b">
        <v>0</v>
      </c>
      <c r="N2690" t="inlineStr">
        <is>
          <t>alt</t>
        </is>
      </c>
      <c r="O2690" t="n">
        <v>-10</v>
      </c>
      <c r="P2690" t="n">
        <v>0.004303</v>
      </c>
      <c r="Q2690" t="n">
        <v>-25</v>
      </c>
      <c r="R2690" t="n">
        <v>0.063</v>
      </c>
      <c r="S2690">
        <f>IMAGE("https://mitra.stanford.edu/kundaje/oak/projects/neuro-variants/variant_position/credible/roussos_2024/variant_figures/roussos_2024.childhood.Astrocyte/rs11919348_count_position.png",4,220,900)</f>
        <v/>
      </c>
      <c r="T2690">
        <f>IMAGE("https://mitra.stanford.edu/kundaje/oak/projects/neuro-variants/variant_position/credible/roussos_2024/variant_figures/roussos_2024.childhood.Astrocyte/rs11919348_profile_position.png",4,220,900)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-0.034378767</v>
      </c>
      <c r="G2691" t="n">
        <v>0.3501488150077365</v>
      </c>
      <c r="H2691" t="n">
        <v>0.0096590485375222</v>
      </c>
      <c r="I2691" t="n">
        <v>0.7567631283543937</v>
      </c>
      <c r="J2691" t="n">
        <v>0.0260096326318761</v>
      </c>
      <c r="K2691" t="n">
        <v>0.5538563362855211</v>
      </c>
      <c r="L2691" t="b">
        <v>0</v>
      </c>
      <c r="M2691" t="b">
        <v>0</v>
      </c>
      <c r="N2691" t="inlineStr">
        <is>
          <t>ref</t>
        </is>
      </c>
      <c r="O2691" t="n">
        <v>95</v>
      </c>
      <c r="P2691" t="n">
        <v>0.0259</v>
      </c>
      <c r="Q2691" t="n">
        <v>100</v>
      </c>
      <c r="R2691" t="n">
        <v>0.1514</v>
      </c>
      <c r="S2691">
        <f>IMAGE("https://mitra.stanford.edu/kundaje/oak/projects/neuro-variants/variant_position/credible/roussos_2024/variant_figures/roussos_2024.childhood.Astrocyte/rs62264146_count_position.png",4,220,900)</f>
        <v/>
      </c>
      <c r="T2691">
        <f>IMAGE("https://mitra.stanford.edu/kundaje/oak/projects/neuro-variants/variant_position/credible/roussos_2024/variant_figures/roussos_2024.childhood.Astrocyte/rs62264146_profile_position.png",4,220,900)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0.07864952259999999</v>
      </c>
      <c r="G2692" t="n">
        <v>0.1060066863363207</v>
      </c>
      <c r="H2692" t="n">
        <v>0.0112703872138887</v>
      </c>
      <c r="I2692" t="n">
        <v>0.5650169039835239</v>
      </c>
      <c r="J2692" t="n">
        <v>0.0517628021646706</v>
      </c>
      <c r="K2692" t="n">
        <v>0.4457935411620662</v>
      </c>
      <c r="L2692" t="b">
        <v>0</v>
      </c>
      <c r="M2692" t="b">
        <v>0</v>
      </c>
      <c r="N2692" t="inlineStr">
        <is>
          <t>alt</t>
        </is>
      </c>
      <c r="O2692" t="n">
        <v>-10</v>
      </c>
      <c r="P2692" t="n">
        <v>0.003204</v>
      </c>
      <c r="Q2692" t="n">
        <v>-25</v>
      </c>
      <c r="R2692" t="n">
        <v>0.03656</v>
      </c>
      <c r="S2692">
        <f>IMAGE("https://mitra.stanford.edu/kundaje/oak/projects/neuro-variants/variant_position/credible/roussos_2024/variant_figures/roussos_2024.childhood.Astrocyte/rs2035_count_position.png",4,220,900)</f>
        <v/>
      </c>
      <c r="T2692">
        <f>IMAGE("https://mitra.stanford.edu/kundaje/oak/projects/neuro-variants/variant_position/credible/roussos_2024/variant_figures/roussos_2024.childhood.Astrocyte/rs2035_profile_position.png",4,220,900)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0.01616989428</v>
      </c>
      <c r="G2693" t="n">
        <v>0.5502553128055028</v>
      </c>
      <c r="H2693" t="n">
        <v>0.0291783710528285</v>
      </c>
      <c r="I2693" t="n">
        <v>0.0332536200235435</v>
      </c>
      <c r="J2693" t="n">
        <v>0.0055376184042804</v>
      </c>
      <c r="K2693" t="n">
        <v>0.7720357597431869</v>
      </c>
      <c r="L2693" t="b">
        <v>0</v>
      </c>
      <c r="M2693" t="b">
        <v>0</v>
      </c>
      <c r="N2693" t="inlineStr">
        <is>
          <t>alt</t>
        </is>
      </c>
      <c r="O2693" t="n">
        <v>-100</v>
      </c>
      <c r="P2693" t="n">
        <v>0.004314</v>
      </c>
      <c r="Q2693" t="n">
        <v>-65</v>
      </c>
      <c r="R2693" t="n">
        <v>0.03632</v>
      </c>
      <c r="S2693">
        <f>IMAGE("https://mitra.stanford.edu/kundaje/oak/projects/neuro-variants/variant_position/credible/roussos_2024/variant_figures/roussos_2024.childhood.Astrocyte/rs28494587_count_position.png",4,220,900)</f>
        <v/>
      </c>
      <c r="T2693">
        <f>IMAGE("https://mitra.stanford.edu/kundaje/oak/projects/neuro-variants/variant_position/credible/roussos_2024/variant_figures/roussos_2024.childhood.Astrocyte/rs28494587_profile_position.png",4,220,900)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0.045014452</v>
      </c>
      <c r="G2694" t="n">
        <v>0.2398530780011603</v>
      </c>
      <c r="H2694" t="n">
        <v>0.0188207142039563</v>
      </c>
      <c r="I2694" t="n">
        <v>0.1554825727987287</v>
      </c>
      <c r="J2694" t="n">
        <v>0.1274499477151122</v>
      </c>
      <c r="K2694" t="n">
        <v>0.283016156746075</v>
      </c>
      <c r="L2694" t="b">
        <v>0</v>
      </c>
      <c r="M2694" t="b">
        <v>0</v>
      </c>
      <c r="N2694" t="inlineStr">
        <is>
          <t>alt</t>
        </is>
      </c>
      <c r="O2694" t="n">
        <v>-80</v>
      </c>
      <c r="P2694" t="n">
        <v>0.013916</v>
      </c>
      <c r="Q2694" t="n">
        <v>-100</v>
      </c>
      <c r="R2694" t="n">
        <v>0.187</v>
      </c>
      <c r="S2694">
        <f>IMAGE("https://mitra.stanford.edu/kundaje/oak/projects/neuro-variants/variant_position/credible/roussos_2024/variant_figures/roussos_2024.childhood.Astrocyte/rs2305551_count_position.png",4,220,900)</f>
        <v/>
      </c>
      <c r="T2694">
        <f>IMAGE("https://mitra.stanford.edu/kundaje/oak/projects/neuro-variants/variant_position/credible/roussos_2024/variant_figures/roussos_2024.childhood.Astrocyte/rs2305551_profile_position.png",4,220,900)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0.024904517</v>
      </c>
      <c r="G2695" t="n">
        <v>0.310435264603055</v>
      </c>
      <c r="H2695" t="n">
        <v>0.0325925106125554</v>
      </c>
      <c r="I2695" t="n">
        <v>0.0222046033596249</v>
      </c>
      <c r="J2695" t="n">
        <v>0.0021074244540617</v>
      </c>
      <c r="K2695" t="n">
        <v>0.8871638676440901</v>
      </c>
      <c r="L2695" t="b">
        <v>0</v>
      </c>
      <c r="M2695" t="b">
        <v>0</v>
      </c>
      <c r="N2695" t="inlineStr">
        <is>
          <t>alt</t>
        </is>
      </c>
      <c r="O2695" t="n">
        <v>-5</v>
      </c>
      <c r="P2695" t="n">
        <v>0.0001907</v>
      </c>
      <c r="Q2695" t="n">
        <v>95</v>
      </c>
      <c r="R2695" t="n">
        <v>0.1809</v>
      </c>
      <c r="S2695">
        <f>IMAGE("https://mitra.stanford.edu/kundaje/oak/projects/neuro-variants/variant_position/credible/roussos_2024/variant_figures/roussos_2024.childhood.Astrocyte/rs9826261_count_position.png",4,220,900)</f>
        <v/>
      </c>
      <c r="T2695">
        <f>IMAGE("https://mitra.stanford.edu/kundaje/oak/projects/neuro-variants/variant_position/credible/roussos_2024/variant_figures/roussos_2024.childhood.Astrocyte/rs9826261_profile_position.png",4,220,900)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-0.099964078</v>
      </c>
      <c r="G2696" t="n">
        <v>0.1000023854004835</v>
      </c>
      <c r="H2696" t="n">
        <v>0.0203767291024879</v>
      </c>
      <c r="I2696" t="n">
        <v>0.1186230242691486</v>
      </c>
      <c r="J2696" t="n">
        <v>0.0019662170929601</v>
      </c>
      <c r="K2696" t="n">
        <v>0.8944208359161326</v>
      </c>
      <c r="L2696" t="b">
        <v>0</v>
      </c>
      <c r="M2696" t="b">
        <v>0</v>
      </c>
      <c r="N2696" t="inlineStr">
        <is>
          <t>ref</t>
        </is>
      </c>
      <c r="O2696" t="n">
        <v>-20</v>
      </c>
      <c r="P2696" t="n">
        <v>0.01341</v>
      </c>
      <c r="Q2696" t="n">
        <v>-20</v>
      </c>
      <c r="R2696" t="n">
        <v>0.02979</v>
      </c>
      <c r="S2696">
        <f>IMAGE("https://mitra.stanford.edu/kundaje/oak/projects/neuro-variants/variant_position/credible/roussos_2024/variant_figures/roussos_2024.childhood.Astrocyte/rs9830118_count_position.png",4,220,900)</f>
        <v/>
      </c>
      <c r="T2696">
        <f>IMAGE("https://mitra.stanford.edu/kundaje/oak/projects/neuro-variants/variant_position/credible/roussos_2024/variant_figures/roussos_2024.childhood.Astrocyte/rs9830118_profile_position.png",4,220,900)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-0.0612160884</v>
      </c>
      <c r="G2697" t="n">
        <v>0.1814128010680613</v>
      </c>
      <c r="H2697" t="n">
        <v>0.0118661523074151</v>
      </c>
      <c r="I2697" t="n">
        <v>0.5287043545476509</v>
      </c>
      <c r="J2697" t="n">
        <v>0.0079938632044148</v>
      </c>
      <c r="K2697" t="n">
        <v>0.7199738355993516</v>
      </c>
      <c r="L2697" t="b">
        <v>0</v>
      </c>
      <c r="M2697" t="b">
        <v>0</v>
      </c>
      <c r="N2697" t="inlineStr">
        <is>
          <t>ref</t>
        </is>
      </c>
      <c r="O2697" t="n">
        <v>-15</v>
      </c>
      <c r="P2697" t="n">
        <v>0.0003052</v>
      </c>
      <c r="Q2697" t="n">
        <v>85</v>
      </c>
      <c r="R2697" t="n">
        <v>0.0989</v>
      </c>
      <c r="S2697">
        <f>IMAGE("https://mitra.stanford.edu/kundaje/oak/projects/neuro-variants/variant_position/credible/roussos_2024/variant_figures/roussos_2024.childhood.Astrocyte/rs11928715_count_position.png",4,220,900)</f>
        <v/>
      </c>
      <c r="T2697">
        <f>IMAGE("https://mitra.stanford.edu/kundaje/oak/projects/neuro-variants/variant_position/credible/roussos_2024/variant_figures/roussos_2024.childhood.Astrocyte/rs11928715_profile_position.png",4,220,900)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-0.009636224840000001</v>
      </c>
      <c r="G2698" t="n">
        <v>0.719974163050819</v>
      </c>
      <c r="H2698" t="n">
        <v>0.0274667460764355</v>
      </c>
      <c r="I2698" t="n">
        <v>0.0414436282919621</v>
      </c>
      <c r="J2698" t="n">
        <v>0.008644180348514999</v>
      </c>
      <c r="K2698" t="n">
        <v>0.7111253750654148</v>
      </c>
      <c r="L2698" t="b">
        <v>0</v>
      </c>
      <c r="M2698" t="b">
        <v>0</v>
      </c>
      <c r="N2698" t="inlineStr">
        <is>
          <t>ref</t>
        </is>
      </c>
      <c r="O2698" t="n">
        <v>-85</v>
      </c>
      <c r="P2698" t="n">
        <v>0.01219</v>
      </c>
      <c r="Q2698" t="n">
        <v>90</v>
      </c>
      <c r="R2698" t="n">
        <v>0.07049999999999999</v>
      </c>
      <c r="S2698">
        <f>IMAGE("https://mitra.stanford.edu/kundaje/oak/projects/neuro-variants/variant_position/credible/roussos_2024/variant_figures/roussos_2024.childhood.Astrocyte/rs11917405_count_position.png",4,220,900)</f>
        <v/>
      </c>
      <c r="T2698">
        <f>IMAGE("https://mitra.stanford.edu/kundaje/oak/projects/neuro-variants/variant_position/credible/roussos_2024/variant_figures/roussos_2024.childhood.Astrocyte/rs11917405_profile_position.png",4,220,900)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0.3292540499999999</v>
      </c>
      <c r="G2699" t="n">
        <v>0.0044985117569387</v>
      </c>
      <c r="H2699" t="n">
        <v>0.0440451343507985</v>
      </c>
      <c r="I2699" t="n">
        <v>0.0075421810625085</v>
      </c>
      <c r="J2699" t="n">
        <v>0.0471449398151328</v>
      </c>
      <c r="K2699" t="n">
        <v>0.4641543705176009</v>
      </c>
      <c r="L2699" t="b">
        <v>1</v>
      </c>
      <c r="M2699" t="b">
        <v>1</v>
      </c>
      <c r="N2699" t="inlineStr">
        <is>
          <t>alt</t>
        </is>
      </c>
      <c r="O2699" t="n">
        <v>95</v>
      </c>
      <c r="P2699" t="n">
        <v>0.0474</v>
      </c>
      <c r="Q2699" t="n">
        <v>-60</v>
      </c>
      <c r="R2699" t="n">
        <v>0.2795</v>
      </c>
      <c r="S2699">
        <f>IMAGE("https://mitra.stanford.edu/kundaje/oak/projects/neuro-variants/variant_position/credible/roussos_2024/variant_figures/roussos_2024.childhood.Astrocyte/rs11921090_count_position.png",4,220,900)</f>
        <v/>
      </c>
      <c r="T2699">
        <f>IMAGE("https://mitra.stanford.edu/kundaje/oak/projects/neuro-variants/variant_position/credible/roussos_2024/variant_figures/roussos_2024.childhood.Astrocyte/rs11921090_profile_position.png",4,220,900)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-0.085368715</v>
      </c>
      <c r="G2700" t="n">
        <v>0.09808142907255619</v>
      </c>
      <c r="H2700" t="n">
        <v>0.0136997828181175</v>
      </c>
      <c r="I2700" t="n">
        <v>0.3781097797881753</v>
      </c>
      <c r="J2700" t="n">
        <v>0.0525077664048605</v>
      </c>
      <c r="K2700" t="n">
        <v>0.458852433866712</v>
      </c>
      <c r="L2700" t="b">
        <v>0</v>
      </c>
      <c r="M2700" t="b">
        <v>0</v>
      </c>
      <c r="N2700" t="inlineStr">
        <is>
          <t>ref</t>
        </is>
      </c>
      <c r="O2700" t="n">
        <v>-45</v>
      </c>
      <c r="P2700" t="n">
        <v>0.00707</v>
      </c>
      <c r="Q2700" t="n">
        <v>75</v>
      </c>
      <c r="R2700" t="n">
        <v>0.09032999999999999</v>
      </c>
      <c r="S2700">
        <f>IMAGE("https://mitra.stanford.edu/kundaje/oak/projects/neuro-variants/variant_position/credible/roussos_2024/variant_figures/roussos_2024.childhood.Astrocyte/rs17829242_count_position.png",4,220,900)</f>
        <v/>
      </c>
      <c r="T2700">
        <f>IMAGE("https://mitra.stanford.edu/kundaje/oak/projects/neuro-variants/variant_position/credible/roussos_2024/variant_figures/roussos_2024.childhood.Astrocyte/rs17829242_profile_position.png",4,220,900)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-0.2003148259999999</v>
      </c>
      <c r="G2701" t="n">
        <v>0.0181551429333833</v>
      </c>
      <c r="H2701" t="n">
        <v>0.0295269917355165</v>
      </c>
      <c r="I2701" t="n">
        <v>0.0345641254079986</v>
      </c>
      <c r="J2701" t="n">
        <v>0.0026943891064245</v>
      </c>
      <c r="K2701" t="n">
        <v>0.8411540805288342</v>
      </c>
      <c r="L2701" t="b">
        <v>1</v>
      </c>
      <c r="M2701" t="b">
        <v>0</v>
      </c>
      <c r="N2701" t="inlineStr">
        <is>
          <t>ref</t>
        </is>
      </c>
      <c r="O2701" t="n">
        <v>100</v>
      </c>
      <c r="P2701" t="n">
        <v>0.008415000000000001</v>
      </c>
      <c r="Q2701" t="n">
        <v>90</v>
      </c>
      <c r="R2701" t="n">
        <v>0.08019999999999999</v>
      </c>
      <c r="S2701">
        <f>IMAGE("https://mitra.stanford.edu/kundaje/oak/projects/neuro-variants/variant_position/credible/roussos_2024/variant_figures/roussos_2024.childhood.Astrocyte/rs28377152_count_position.png",4,220,900)</f>
        <v/>
      </c>
      <c r="T2701">
        <f>IMAGE("https://mitra.stanford.edu/kundaje/oak/projects/neuro-variants/variant_position/credible/roussos_2024/variant_figures/roussos_2024.childhood.Astrocyte/rs28377152_profile_position.png",4,220,900)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-0.01777399878</v>
      </c>
      <c r="G2702" t="n">
        <v>0.3495981049792118</v>
      </c>
      <c r="H2702" t="n">
        <v>0.0117388339249235</v>
      </c>
      <c r="I2702" t="n">
        <v>0.5322730351639189</v>
      </c>
      <c r="J2702" t="n">
        <v>0.0321158968957278</v>
      </c>
      <c r="K2702" t="n">
        <v>0.5179998082065254</v>
      </c>
      <c r="L2702" t="b">
        <v>0</v>
      </c>
      <c r="M2702" t="b">
        <v>0</v>
      </c>
      <c r="N2702" t="inlineStr">
        <is>
          <t>ref</t>
        </is>
      </c>
      <c r="O2702" t="n">
        <v>90</v>
      </c>
      <c r="P2702" t="n">
        <v>0.10425</v>
      </c>
      <c r="Q2702" t="n">
        <v>50</v>
      </c>
      <c r="R2702" t="n">
        <v>0.1467</v>
      </c>
      <c r="S2702">
        <f>IMAGE("https://mitra.stanford.edu/kundaje/oak/projects/neuro-variants/variant_position/credible/roussos_2024/variant_figures/roussos_2024.childhood.Astrocyte/rs11917750_count_position.png",4,220,900)</f>
        <v/>
      </c>
      <c r="T2702">
        <f>IMAGE("https://mitra.stanford.edu/kundaje/oak/projects/neuro-variants/variant_position/credible/roussos_2024/variant_figures/roussos_2024.childhood.Astrocyte/rs11917750_profile_position.png",4,220,900)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-0.01276635958</v>
      </c>
      <c r="G2703" t="n">
        <v>0.6566136199169162</v>
      </c>
      <c r="H2703" t="n">
        <v>0.0204276996409196</v>
      </c>
      <c r="I2703" t="n">
        <v>0.1168060034153879</v>
      </c>
      <c r="J2703" t="n">
        <v>0.0380160747406745</v>
      </c>
      <c r="K2703" t="n">
        <v>0.4924025457537135</v>
      </c>
      <c r="L2703" t="b">
        <v>0</v>
      </c>
      <c r="M2703" t="b">
        <v>0</v>
      </c>
      <c r="N2703" t="inlineStr">
        <is>
          <t>ref</t>
        </is>
      </c>
      <c r="O2703" t="n">
        <v>75</v>
      </c>
      <c r="P2703" t="n">
        <v>0.00354</v>
      </c>
      <c r="Q2703" t="n">
        <v>-25</v>
      </c>
      <c r="R2703" t="n">
        <v>0.0349</v>
      </c>
      <c r="S2703">
        <f>IMAGE("https://mitra.stanford.edu/kundaje/oak/projects/neuro-variants/variant_position/credible/roussos_2024/variant_figures/roussos_2024.childhood.Astrocyte/rs723271_count_position.png",4,220,900)</f>
        <v/>
      </c>
      <c r="T2703">
        <f>IMAGE("https://mitra.stanford.edu/kundaje/oak/projects/neuro-variants/variant_position/credible/roussos_2024/variant_figures/roussos_2024.childhood.Astrocyte/rs723271_profile_position.png",4,220,900)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0.0334106522</v>
      </c>
      <c r="G2704" t="n">
        <v>0.2804399552832033</v>
      </c>
      <c r="H2704" t="n">
        <v>0.0286573204620909</v>
      </c>
      <c r="I2704" t="n">
        <v>0.0355136623753185</v>
      </c>
      <c r="J2704" t="n">
        <v>0.0285941089815514</v>
      </c>
      <c r="K2704" t="n">
        <v>0.5383140315167448</v>
      </c>
      <c r="L2704" t="b">
        <v>0</v>
      </c>
      <c r="M2704" t="b">
        <v>0</v>
      </c>
      <c r="N2704" t="inlineStr">
        <is>
          <t>alt</t>
        </is>
      </c>
      <c r="O2704" t="n">
        <v>-80</v>
      </c>
      <c r="P2704" t="n">
        <v>0.0155</v>
      </c>
      <c r="Q2704" t="n">
        <v>-90</v>
      </c>
      <c r="R2704" t="n">
        <v>0.1515</v>
      </c>
      <c r="S2704">
        <f>IMAGE("https://mitra.stanford.edu/kundaje/oak/projects/neuro-variants/variant_position/credible/roussos_2024/variant_figures/roussos_2024.childhood.Astrocyte/rs7610003_count_position.png",4,220,900)</f>
        <v/>
      </c>
      <c r="T2704">
        <f>IMAGE("https://mitra.stanford.edu/kundaje/oak/projects/neuro-variants/variant_position/credible/roussos_2024/variant_figures/roussos_2024.childhood.Astrocyte/rs7610003_profile_position.png",4,220,900)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0.037838356</v>
      </c>
      <c r="G2705" t="n">
        <v>0.3003891348548101</v>
      </c>
      <c r="H2705" t="n">
        <v>0.0120497202063489</v>
      </c>
      <c r="I2705" t="n">
        <v>0.5126442529337918</v>
      </c>
      <c r="J2705" t="n">
        <v>0.0188981246135879</v>
      </c>
      <c r="K2705" t="n">
        <v>0.6029758131979647</v>
      </c>
      <c r="L2705" t="b">
        <v>0</v>
      </c>
      <c r="M2705" t="b">
        <v>0</v>
      </c>
      <c r="N2705" t="inlineStr">
        <is>
          <t>alt</t>
        </is>
      </c>
      <c r="O2705" t="n">
        <v>100</v>
      </c>
      <c r="P2705" t="n">
        <v>0.002457</v>
      </c>
      <c r="Q2705" t="n">
        <v>100</v>
      </c>
      <c r="R2705" t="n">
        <v>0.0723</v>
      </c>
      <c r="S2705">
        <f>IMAGE("https://mitra.stanford.edu/kundaje/oak/projects/neuro-variants/variant_position/credible/roussos_2024/variant_figures/roussos_2024.childhood.Astrocyte/rs7632036_count_position.png",4,220,900)</f>
        <v/>
      </c>
      <c r="T2705">
        <f>IMAGE("https://mitra.stanford.edu/kundaje/oak/projects/neuro-variants/variant_position/credible/roussos_2024/variant_figures/roussos_2024.childhood.Astrocyte/rs7632036_profile_position.png",4,220,900)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-0.0085460432999999</v>
      </c>
      <c r="G2706" t="n">
        <v>0.777127832896475</v>
      </c>
      <c r="H2706" t="n">
        <v>0.0247740785618089</v>
      </c>
      <c r="I2706" t="n">
        <v>0.06106907872622</v>
      </c>
      <c r="J2706" t="n">
        <v>0.0031309870012899</v>
      </c>
      <c r="K2706" t="n">
        <v>0.8267767695912794</v>
      </c>
      <c r="L2706" t="b">
        <v>0</v>
      </c>
      <c r="M2706" t="b">
        <v>0</v>
      </c>
      <c r="N2706" t="inlineStr">
        <is>
          <t>ref</t>
        </is>
      </c>
      <c r="O2706" t="n">
        <v>-55</v>
      </c>
      <c r="P2706" t="n">
        <v>0.001053</v>
      </c>
      <c r="Q2706" t="n">
        <v>-70</v>
      </c>
      <c r="R2706" t="n">
        <v>0.02176</v>
      </c>
      <c r="S2706">
        <f>IMAGE("https://mitra.stanford.edu/kundaje/oak/projects/neuro-variants/variant_position/credible/roussos_2024/variant_figures/roussos_2024.childhood.Astrocyte/rs11915212_count_position.png",4,220,900)</f>
        <v/>
      </c>
      <c r="T2706">
        <f>IMAGE("https://mitra.stanford.edu/kundaje/oak/projects/neuro-variants/variant_position/credible/roussos_2024/variant_figures/roussos_2024.childhood.Astrocyte/rs11915212_profile_position.png",4,220,900)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0.0198939983999999</v>
      </c>
      <c r="G2707" t="n">
        <v>0.5166829213236203</v>
      </c>
      <c r="H2707" t="n">
        <v>0.0277942312741722</v>
      </c>
      <c r="I2707" t="n">
        <v>0.0409865987722593</v>
      </c>
      <c r="J2707" t="n">
        <v>0.0077877767855097</v>
      </c>
      <c r="K2707" t="n">
        <v>0.7240417232918857</v>
      </c>
      <c r="L2707" t="b">
        <v>0</v>
      </c>
      <c r="M2707" t="b">
        <v>0</v>
      </c>
      <c r="N2707" t="inlineStr">
        <is>
          <t>alt</t>
        </is>
      </c>
      <c r="O2707" t="n">
        <v>0</v>
      </c>
      <c r="P2707" t="n">
        <v>0</v>
      </c>
      <c r="Q2707" t="n">
        <v>70</v>
      </c>
      <c r="R2707" t="n">
        <v>0.02393</v>
      </c>
      <c r="S2707">
        <f>IMAGE("https://mitra.stanford.edu/kundaje/oak/projects/neuro-variants/variant_position/credible/roussos_2024/variant_figures/roussos_2024.childhood.Astrocyte/rs11915231_count_position.png",4,220,900)</f>
        <v/>
      </c>
      <c r="T2707">
        <f>IMAGE("https://mitra.stanford.edu/kundaje/oak/projects/neuro-variants/variant_position/credible/roussos_2024/variant_figures/roussos_2024.childhood.Astrocyte/rs11915231_profile_position.png",4,220,900)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-0.16927128</v>
      </c>
      <c r="G2708" t="n">
        <v>0.0251594866719688</v>
      </c>
      <c r="H2708" t="n">
        <v>0.0921812935152985</v>
      </c>
      <c r="I2708" t="n">
        <v>0.0006526090909783</v>
      </c>
      <c r="J2708" t="n">
        <v>0.1017990581087372</v>
      </c>
      <c r="K2708" t="n">
        <v>0.320005311975268</v>
      </c>
      <c r="L2708" t="b">
        <v>1</v>
      </c>
      <c r="M2708" t="b">
        <v>1</v>
      </c>
      <c r="N2708" t="inlineStr">
        <is>
          <t>ref</t>
        </is>
      </c>
      <c r="O2708" t="n">
        <v>-70</v>
      </c>
      <c r="P2708" t="n">
        <v>0.00891</v>
      </c>
      <c r="Q2708" t="n">
        <v>-75</v>
      </c>
      <c r="R2708" t="n">
        <v>0.1423</v>
      </c>
      <c r="S2708">
        <f>IMAGE("https://mitra.stanford.edu/kundaje/oak/projects/neuro-variants/variant_position/credible/roussos_2024/variant_figures/roussos_2024.childhood.Astrocyte/rs9818755_count_position.png",4,220,900)</f>
        <v/>
      </c>
      <c r="T2708">
        <f>IMAGE("https://mitra.stanford.edu/kundaje/oak/projects/neuro-variants/variant_position/credible/roussos_2024/variant_figures/roussos_2024.childhood.Astrocyte/rs9818755_profile_position.png",4,220,900)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-0.0512691938</v>
      </c>
      <c r="G2709" t="n">
        <v>0.2119547736727851</v>
      </c>
      <c r="H2709" t="n">
        <v>0.0228689788256238</v>
      </c>
      <c r="I2709" t="n">
        <v>0.0804487659359702</v>
      </c>
      <c r="J2709" t="n">
        <v>0.0081106455084609</v>
      </c>
      <c r="K2709" t="n">
        <v>0.7229642263388824</v>
      </c>
      <c r="L2709" t="b">
        <v>0</v>
      </c>
      <c r="M2709" t="b">
        <v>0</v>
      </c>
      <c r="N2709" t="inlineStr">
        <is>
          <t>ref</t>
        </is>
      </c>
      <c r="O2709" t="n">
        <v>-95</v>
      </c>
      <c r="P2709" t="n">
        <v>0.008865</v>
      </c>
      <c r="Q2709" t="n">
        <v>40</v>
      </c>
      <c r="R2709" t="n">
        <v>0.1226</v>
      </c>
      <c r="S2709">
        <f>IMAGE("https://mitra.stanford.edu/kundaje/oak/projects/neuro-variants/variant_position/credible/roussos_2024/variant_figures/roussos_2024.childhood.Astrocyte/rs7647452_count_position.png",4,220,900)</f>
        <v/>
      </c>
      <c r="T2709">
        <f>IMAGE("https://mitra.stanford.edu/kundaje/oak/projects/neuro-variants/variant_position/credible/roussos_2024/variant_figures/roussos_2024.childhood.Astrocyte/rs7647452_profile_position.png",4,220,900)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0.01511058744</v>
      </c>
      <c r="G2710" t="n">
        <v>0.6078931791028244</v>
      </c>
      <c r="H2710" t="n">
        <v>0.0117860149117951</v>
      </c>
      <c r="I2710" t="n">
        <v>0.5357433600444469</v>
      </c>
      <c r="J2710" t="n">
        <v>0.0163220443772755</v>
      </c>
      <c r="K2710" t="n">
        <v>0.6226278297742729</v>
      </c>
      <c r="L2710" t="b">
        <v>0</v>
      </c>
      <c r="M2710" t="b">
        <v>0</v>
      </c>
      <c r="N2710" t="inlineStr">
        <is>
          <t>alt</t>
        </is>
      </c>
      <c r="O2710" t="n">
        <v>-85</v>
      </c>
      <c r="P2710" t="n">
        <v>0.00309</v>
      </c>
      <c r="Q2710" t="n">
        <v>10</v>
      </c>
      <c r="R2710" t="n">
        <v>0.0105</v>
      </c>
      <c r="S2710">
        <f>IMAGE("https://mitra.stanford.edu/kundaje/oak/projects/neuro-variants/variant_position/credible/roussos_2024/variant_figures/roussos_2024.childhood.Astrocyte/rs17829536_count_position.png",4,220,900)</f>
        <v/>
      </c>
      <c r="T2710">
        <f>IMAGE("https://mitra.stanford.edu/kundaje/oak/projects/neuro-variants/variant_position/credible/roussos_2024/variant_figures/roussos_2024.childhood.Astrocyte/rs17829536_profile_position.png",4,220,900)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-0.177592266</v>
      </c>
      <c r="G2711" t="n">
        <v>0.0215058965826598</v>
      </c>
      <c r="H2711" t="n">
        <v>0.0297155872229303</v>
      </c>
      <c r="I2711" t="n">
        <v>0.0321285374475967</v>
      </c>
      <c r="J2711" t="n">
        <v>0.0872188256127254</v>
      </c>
      <c r="K2711" t="n">
        <v>0.3608097291685463</v>
      </c>
      <c r="L2711" t="b">
        <v>0</v>
      </c>
      <c r="M2711" t="b">
        <v>0</v>
      </c>
      <c r="N2711" t="inlineStr">
        <is>
          <t>ref</t>
        </is>
      </c>
      <c r="O2711" t="n">
        <v>85</v>
      </c>
      <c r="P2711" t="n">
        <v>0.04108</v>
      </c>
      <c r="Q2711" t="n">
        <v>-45</v>
      </c>
      <c r="R2711" t="n">
        <v>0.03174</v>
      </c>
      <c r="S2711">
        <f>IMAGE("https://mitra.stanford.edu/kundaje/oak/projects/neuro-variants/variant_position/credible/roussos_2024/variant_figures/roussos_2024.childhood.Astrocyte/rs10514752_count_position.png",4,220,900)</f>
        <v/>
      </c>
      <c r="T2711">
        <f>IMAGE("https://mitra.stanford.edu/kundaje/oak/projects/neuro-variants/variant_position/credible/roussos_2024/variant_figures/roussos_2024.childhood.Astrocyte/rs10514752_profile_position.png",4,220,900)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0.0707715248</v>
      </c>
      <c r="G2712" t="n">
        <v>0.1252376217057764</v>
      </c>
      <c r="H2712" t="n">
        <v>0.0101351635569686</v>
      </c>
      <c r="I2712" t="n">
        <v>0.6940298401479955</v>
      </c>
      <c r="J2712" t="n">
        <v>0.0361177898376496</v>
      </c>
      <c r="K2712" t="n">
        <v>0.4947454124237948</v>
      </c>
      <c r="L2712" t="b">
        <v>0</v>
      </c>
      <c r="M2712" t="b">
        <v>0</v>
      </c>
      <c r="N2712" t="inlineStr">
        <is>
          <t>alt</t>
        </is>
      </c>
      <c r="O2712" t="n">
        <v>-100</v>
      </c>
      <c r="P2712" t="n">
        <v>0.01317</v>
      </c>
      <c r="Q2712" t="n">
        <v>-15</v>
      </c>
      <c r="R2712" t="n">
        <v>0.01182</v>
      </c>
      <c r="S2712">
        <f>IMAGE("https://mitra.stanford.edu/kundaje/oak/projects/neuro-variants/variant_position/credible/roussos_2024/variant_figures/roussos_2024.childhood.Astrocyte/rs72933710_count_position.png",4,220,900)</f>
        <v/>
      </c>
      <c r="T2712">
        <f>IMAGE("https://mitra.stanford.edu/kundaje/oak/projects/neuro-variants/variant_position/credible/roussos_2024/variant_figures/roussos_2024.childhood.Astrocyte/rs72933710_profile_position.png",4,220,900)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0.0801266588</v>
      </c>
      <c r="G2713" t="n">
        <v>0.1057943447971445</v>
      </c>
      <c r="H2713" t="n">
        <v>0.0151747478032332</v>
      </c>
      <c r="I2713" t="n">
        <v>0.2898655469950983</v>
      </c>
      <c r="J2713" t="n">
        <v>0.0227702594399028</v>
      </c>
      <c r="K2713" t="n">
        <v>0.5857441828247593</v>
      </c>
      <c r="L2713" t="b">
        <v>0</v>
      </c>
      <c r="M2713" t="b">
        <v>0</v>
      </c>
      <c r="N2713" t="inlineStr">
        <is>
          <t>alt</t>
        </is>
      </c>
      <c r="O2713" t="n">
        <v>-35</v>
      </c>
      <c r="P2713" t="n">
        <v>0.0403</v>
      </c>
      <c r="Q2713" t="n">
        <v>95</v>
      </c>
      <c r="R2713" t="n">
        <v>0.1793</v>
      </c>
      <c r="S2713">
        <f>IMAGE("https://mitra.stanford.edu/kundaje/oak/projects/neuro-variants/variant_position/credible/roussos_2024/variant_figures/roussos_2024.childhood.Astrocyte/rs13433942_count_position.png",4,220,900)</f>
        <v/>
      </c>
      <c r="T2713">
        <f>IMAGE("https://mitra.stanford.edu/kundaje/oak/projects/neuro-variants/variant_position/credible/roussos_2024/variant_figures/roussos_2024.childhood.Astrocyte/rs13433942_profile_position.png",4,220,900)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0.00036022896</v>
      </c>
      <c r="G2714" t="n">
        <v>0.8561720670243445</v>
      </c>
      <c r="H2714" t="n">
        <v>0.0259319434657628</v>
      </c>
      <c r="I2714" t="n">
        <v>0.0525939648178429</v>
      </c>
      <c r="J2714" t="n">
        <v>0.0088632425789806</v>
      </c>
      <c r="K2714" t="n">
        <v>0.7016236362310456</v>
      </c>
      <c r="L2714" t="b">
        <v>0</v>
      </c>
      <c r="M2714" t="b">
        <v>0</v>
      </c>
      <c r="N2714" t="inlineStr">
        <is>
          <t>alt</t>
        </is>
      </c>
      <c r="O2714" t="n">
        <v>100</v>
      </c>
      <c r="P2714" t="n">
        <v>0.008545000000000001</v>
      </c>
      <c r="Q2714" t="n">
        <v>-80</v>
      </c>
      <c r="R2714" t="n">
        <v>0.19</v>
      </c>
      <c r="S2714">
        <f>IMAGE("https://mitra.stanford.edu/kundaje/oak/projects/neuro-variants/variant_position/credible/roussos_2024/variant_figures/roussos_2024.childhood.Astrocyte/rs9816413_count_position.png",4,220,900)</f>
        <v/>
      </c>
      <c r="T2714">
        <f>IMAGE("https://mitra.stanford.edu/kundaje/oak/projects/neuro-variants/variant_position/credible/roussos_2024/variant_figures/roussos_2024.childhood.Astrocyte/rs9816413_profile_position.png",4,220,900)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-0.0881077272</v>
      </c>
      <c r="G2715" t="n">
        <v>0.0913404263671489</v>
      </c>
      <c r="H2715" t="n">
        <v>0.0119572447821962</v>
      </c>
      <c r="I2715" t="n">
        <v>0.5091752934881694</v>
      </c>
      <c r="J2715" t="n">
        <v>0.0081617854716707</v>
      </c>
      <c r="K2715" t="n">
        <v>0.711727121479413</v>
      </c>
      <c r="L2715" t="b">
        <v>0</v>
      </c>
      <c r="M2715" t="b">
        <v>0</v>
      </c>
      <c r="N2715" t="inlineStr">
        <is>
          <t>ref</t>
        </is>
      </c>
      <c r="O2715" t="n">
        <v>-100</v>
      </c>
      <c r="P2715" t="n">
        <v>0.02484</v>
      </c>
      <c r="Q2715" t="n">
        <v>40</v>
      </c>
      <c r="R2715" t="n">
        <v>0.0803</v>
      </c>
      <c r="S2715">
        <f>IMAGE("https://mitra.stanford.edu/kundaje/oak/projects/neuro-variants/variant_position/credible/roussos_2024/variant_figures/roussos_2024.childhood.Astrocyte/rs17239988_count_position.png",4,220,900)</f>
        <v/>
      </c>
      <c r="T2715">
        <f>IMAGE("https://mitra.stanford.edu/kundaje/oak/projects/neuro-variants/variant_position/credible/roussos_2024/variant_figures/roussos_2024.childhood.Astrocyte/rs17239988_profile_position.png",4,220,900)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0.02388942874</v>
      </c>
      <c r="G2716" t="n">
        <v>0.4292387652856699</v>
      </c>
      <c r="H2716" t="n">
        <v>0.0135208653187627</v>
      </c>
      <c r="I2716" t="n">
        <v>0.3948690024883148</v>
      </c>
      <c r="J2716" t="n">
        <v>0.0186721928358254</v>
      </c>
      <c r="K2716" t="n">
        <v>0.6289881697741114</v>
      </c>
      <c r="L2716" t="b">
        <v>0</v>
      </c>
      <c r="M2716" t="b">
        <v>0</v>
      </c>
      <c r="N2716" t="inlineStr">
        <is>
          <t>alt</t>
        </is>
      </c>
      <c r="O2716" t="n">
        <v>85</v>
      </c>
      <c r="P2716" t="n">
        <v>0.00852</v>
      </c>
      <c r="Q2716" t="n">
        <v>95</v>
      </c>
      <c r="R2716" t="n">
        <v>0.165</v>
      </c>
      <c r="S2716">
        <f>IMAGE("https://mitra.stanford.edu/kundaje/oak/projects/neuro-variants/variant_position/credible/roussos_2024/variant_figures/roussos_2024.childhood.Astrocyte/rs9859939_count_position.png",4,220,900)</f>
        <v/>
      </c>
      <c r="T2716">
        <f>IMAGE("https://mitra.stanford.edu/kundaje/oak/projects/neuro-variants/variant_position/credible/roussos_2024/variant_figures/roussos_2024.childhood.Astrocyte/rs9859939_profile_position.png",4,220,900)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0.0147923872</v>
      </c>
      <c r="G2717" t="n">
        <v>0.6171657339276919</v>
      </c>
      <c r="H2717" t="n">
        <v>0.0145026864345751</v>
      </c>
      <c r="I2717" t="n">
        <v>0.3284835372197317</v>
      </c>
      <c r="J2717" t="n">
        <v>0.0115606848175371</v>
      </c>
      <c r="K2717" t="n">
        <v>0.6966339331705205</v>
      </c>
      <c r="L2717" t="b">
        <v>0</v>
      </c>
      <c r="M2717" t="b">
        <v>0</v>
      </c>
      <c r="N2717" t="inlineStr">
        <is>
          <t>alt</t>
        </is>
      </c>
      <c r="O2717" t="n">
        <v>10</v>
      </c>
      <c r="P2717" t="n">
        <v>0.000641</v>
      </c>
      <c r="Q2717" t="n">
        <v>-100</v>
      </c>
      <c r="R2717" t="n">
        <v>0.0746</v>
      </c>
      <c r="S2717">
        <f>IMAGE("https://mitra.stanford.edu/kundaje/oak/projects/neuro-variants/variant_position/credible/roussos_2024/variant_figures/roussos_2024.childhood.Astrocyte/rs13323116_count_position.png",4,220,900)</f>
        <v/>
      </c>
      <c r="T2717">
        <f>IMAGE("https://mitra.stanford.edu/kundaje/oak/projects/neuro-variants/variant_position/credible/roussos_2024/variant_figures/roussos_2024.childhood.Astrocyte/rs13323116_profile_position.png",4,220,900)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-0.07142722479999999</v>
      </c>
      <c r="G2718" t="n">
        <v>0.1331226248538417</v>
      </c>
      <c r="H2718" t="n">
        <v>0.0119469177329932</v>
      </c>
      <c r="I2718" t="n">
        <v>0.5242777833388539</v>
      </c>
      <c r="J2718" t="n">
        <v>0.0011304221718455</v>
      </c>
      <c r="K2718" t="n">
        <v>0.9098149400619614</v>
      </c>
      <c r="L2718" t="b">
        <v>0</v>
      </c>
      <c r="M2718" t="b">
        <v>0</v>
      </c>
      <c r="N2718" t="inlineStr">
        <is>
          <t>ref</t>
        </is>
      </c>
      <c r="O2718" t="n">
        <v>-100</v>
      </c>
      <c r="P2718" t="n">
        <v>0.01968</v>
      </c>
      <c r="Q2718" t="n">
        <v>25</v>
      </c>
      <c r="R2718" t="n">
        <v>0.04163</v>
      </c>
      <c r="S2718">
        <f>IMAGE("https://mitra.stanford.edu/kundaje/oak/projects/neuro-variants/variant_position/credible/roussos_2024/variant_figures/roussos_2024.childhood.Astrocyte/rs9868740_count_position.png",4,220,900)</f>
        <v/>
      </c>
      <c r="T2718">
        <f>IMAGE("https://mitra.stanford.edu/kundaje/oak/projects/neuro-variants/variant_position/credible/roussos_2024/variant_figures/roussos_2024.childhood.Astrocyte/rs9868740_profile_position.png",4,220,900)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0.00978754366</v>
      </c>
      <c r="G2719" t="n">
        <v>0.597540695349874</v>
      </c>
      <c r="H2719" t="n">
        <v>0.0103530272946773</v>
      </c>
      <c r="I2719" t="n">
        <v>0.6820285186918409</v>
      </c>
      <c r="J2719" t="n">
        <v>0.0382389533863051</v>
      </c>
      <c r="K2719" t="n">
        <v>0.5038939635954339</v>
      </c>
      <c r="L2719" t="b">
        <v>0</v>
      </c>
      <c r="M2719" t="b">
        <v>0</v>
      </c>
      <c r="N2719" t="inlineStr">
        <is>
          <t>alt</t>
        </is>
      </c>
      <c r="O2719" t="n">
        <v>-85</v>
      </c>
      <c r="P2719" t="n">
        <v>0.04385</v>
      </c>
      <c r="Q2719" t="n">
        <v>95</v>
      </c>
      <c r="R2719" t="n">
        <v>0.0162</v>
      </c>
      <c r="S2719">
        <f>IMAGE("https://mitra.stanford.edu/kundaje/oak/projects/neuro-variants/variant_position/credible/roussos_2024/variant_figures/roussos_2024.childhood.Astrocyte/rs9863548_count_position.png",4,220,900)</f>
        <v/>
      </c>
      <c r="T2719">
        <f>IMAGE("https://mitra.stanford.edu/kundaje/oak/projects/neuro-variants/variant_position/credible/roussos_2024/variant_figures/roussos_2024.childhood.Astrocyte/rs9863548_profile_position.png",4,220,900)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-0.00664947986</v>
      </c>
      <c r="G2720" t="n">
        <v>0.6164884557728392</v>
      </c>
      <c r="H2720" t="n">
        <v>0.0134705342617689</v>
      </c>
      <c r="I2720" t="n">
        <v>0.394855047876153</v>
      </c>
      <c r="J2720" t="n">
        <v>0.0189133902742475</v>
      </c>
      <c r="K2720" t="n">
        <v>0.6172213266380343</v>
      </c>
      <c r="L2720" t="b">
        <v>0</v>
      </c>
      <c r="M2720" t="b">
        <v>0</v>
      </c>
      <c r="N2720" t="inlineStr">
        <is>
          <t>ref</t>
        </is>
      </c>
      <c r="O2720" t="n">
        <v>-100</v>
      </c>
      <c r="P2720" t="n">
        <v>0.01886</v>
      </c>
      <c r="Q2720" t="n">
        <v>-35</v>
      </c>
      <c r="R2720" t="n">
        <v>0.04883</v>
      </c>
      <c r="S2720">
        <f>IMAGE("https://mitra.stanford.edu/kundaje/oak/projects/neuro-variants/variant_position/credible/roussos_2024/variant_figures/roussos_2024.childhood.Astrocyte/rs13318120_count_position.png",4,220,900)</f>
        <v/>
      </c>
      <c r="T2720">
        <f>IMAGE("https://mitra.stanford.edu/kundaje/oak/projects/neuro-variants/variant_position/credible/roussos_2024/variant_figures/roussos_2024.childhood.Astrocyte/rs13318120_profile_position.png",4,220,900)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-0.0051472586199999</v>
      </c>
      <c r="G2721" t="n">
        <v>0.8147958510155516</v>
      </c>
      <c r="H2721" t="n">
        <v>0.0228074547498623</v>
      </c>
      <c r="I2721" t="n">
        <v>0.0809539831788247</v>
      </c>
      <c r="J2721" t="n">
        <v>0.0029806202437925</v>
      </c>
      <c r="K2721" t="n">
        <v>0.8247573242670145</v>
      </c>
      <c r="L2721" t="b">
        <v>0</v>
      </c>
      <c r="M2721" t="b">
        <v>0</v>
      </c>
      <c r="N2721" t="inlineStr">
        <is>
          <t>ref</t>
        </is>
      </c>
      <c r="O2721" t="n">
        <v>100</v>
      </c>
      <c r="P2721" t="n">
        <v>0.1603</v>
      </c>
      <c r="Q2721" t="n">
        <v>95</v>
      </c>
      <c r="R2721" t="n">
        <v>0.142</v>
      </c>
      <c r="S2721">
        <f>IMAGE("https://mitra.stanford.edu/kundaje/oak/projects/neuro-variants/variant_position/credible/roussos_2024/variant_figures/roussos_2024.childhood.Astrocyte/rs9875102_count_position.png",4,220,900)</f>
        <v/>
      </c>
      <c r="T2721">
        <f>IMAGE("https://mitra.stanford.edu/kundaje/oak/projects/neuro-variants/variant_position/credible/roussos_2024/variant_figures/roussos_2024.childhood.Astrocyte/rs9875102_profile_position.png",4,220,900)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0.128157734</v>
      </c>
      <c r="G2722" t="n">
        <v>0.0422226722781277</v>
      </c>
      <c r="H2722" t="n">
        <v>0.0186586388579674</v>
      </c>
      <c r="I2722" t="n">
        <v>0.1644378027225405</v>
      </c>
      <c r="J2722" t="n">
        <v>0.0004991871035698</v>
      </c>
      <c r="K2722" t="n">
        <v>0.9441860202233504</v>
      </c>
      <c r="L2722" t="b">
        <v>0</v>
      </c>
      <c r="M2722" t="b">
        <v>0</v>
      </c>
      <c r="N2722" t="inlineStr">
        <is>
          <t>alt</t>
        </is>
      </c>
      <c r="O2722" t="n">
        <v>90</v>
      </c>
      <c r="P2722" t="n">
        <v>0.003078</v>
      </c>
      <c r="Q2722" t="n">
        <v>15</v>
      </c>
      <c r="R2722" t="n">
        <v>0.02849</v>
      </c>
      <c r="S2722">
        <f>IMAGE("https://mitra.stanford.edu/kundaje/oak/projects/neuro-variants/variant_position/credible/roussos_2024/variant_figures/roussos_2024.childhood.Astrocyte/rs72933753_count_position.png",4,220,900)</f>
        <v/>
      </c>
      <c r="T2722">
        <f>IMAGE("https://mitra.stanford.edu/kundaje/oak/projects/neuro-variants/variant_position/credible/roussos_2024/variant_figures/roussos_2024.childhood.Astrocyte/rs72933753_profile_position.png",4,220,900)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0.00422468776</v>
      </c>
      <c r="G2723" t="n">
        <v>0.7974476894638767</v>
      </c>
      <c r="H2723" t="n">
        <v>0.008727849469308199</v>
      </c>
      <c r="I2723" t="n">
        <v>0.8319580491580281</v>
      </c>
      <c r="J2723" t="n">
        <v>0.0002946272507307</v>
      </c>
      <c r="K2723" t="n">
        <v>0.9623317212733068</v>
      </c>
      <c r="L2723" t="b">
        <v>0</v>
      </c>
      <c r="M2723" t="b">
        <v>0</v>
      </c>
      <c r="N2723" t="inlineStr">
        <is>
          <t>alt</t>
        </is>
      </c>
      <c r="O2723" t="n">
        <v>65</v>
      </c>
      <c r="P2723" t="n">
        <v>0.0054</v>
      </c>
      <c r="Q2723" t="n">
        <v>0</v>
      </c>
      <c r="R2723" t="n">
        <v>0</v>
      </c>
      <c r="S2723">
        <f>IMAGE("https://mitra.stanford.edu/kundaje/oak/projects/neuro-variants/variant_position/credible/roussos_2024/variant_figures/roussos_2024.childhood.Astrocyte/rs921582_count_position.png",4,220,900)</f>
        <v/>
      </c>
      <c r="T2723">
        <f>IMAGE("https://mitra.stanford.edu/kundaje/oak/projects/neuro-variants/variant_position/credible/roussos_2024/variant_figures/roussos_2024.childhood.Astrocyte/rs921582_profile_position.png",4,220,900)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0.175094633</v>
      </c>
      <c r="G2724" t="n">
        <v>0.0309933363883062</v>
      </c>
      <c r="H2724" t="n">
        <v>0.0240143806813627</v>
      </c>
      <c r="I2724" t="n">
        <v>0.07660365343285309</v>
      </c>
      <c r="J2724" t="n">
        <v>0.1888766763603611</v>
      </c>
      <c r="K2724" t="n">
        <v>0.2116748812455955</v>
      </c>
      <c r="L2724" t="b">
        <v>0</v>
      </c>
      <c r="M2724" t="b">
        <v>0</v>
      </c>
      <c r="N2724" t="inlineStr">
        <is>
          <t>alt</t>
        </is>
      </c>
      <c r="O2724" t="n">
        <v>100</v>
      </c>
      <c r="P2724" t="n">
        <v>0.00404</v>
      </c>
      <c r="Q2724" t="n">
        <v>-75</v>
      </c>
      <c r="R2724" t="n">
        <v>0.0917</v>
      </c>
      <c r="S2724">
        <f>IMAGE("https://mitra.stanford.edu/kundaje/oak/projects/neuro-variants/variant_position/credible/roussos_2024/variant_figures/roussos_2024.childhood.Astrocyte/rs1377275_count_position.png",4,220,900)</f>
        <v/>
      </c>
      <c r="T2724">
        <f>IMAGE("https://mitra.stanford.edu/kundaje/oak/projects/neuro-variants/variant_position/credible/roussos_2024/variant_figures/roussos_2024.childhood.Astrocyte/rs1377275_profile_position.png",4,220,900)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0.1099970372</v>
      </c>
      <c r="G2725" t="n">
        <v>0.058025632836654</v>
      </c>
      <c r="H2725" t="n">
        <v>0.0150171506720333</v>
      </c>
      <c r="I2725" t="n">
        <v>0.297243369142992</v>
      </c>
      <c r="J2725" t="n">
        <v>0.0034011891949653</v>
      </c>
      <c r="K2725" t="n">
        <v>0.8146203480678404</v>
      </c>
      <c r="L2725" t="b">
        <v>0</v>
      </c>
      <c r="M2725" t="b">
        <v>0</v>
      </c>
      <c r="N2725" t="inlineStr">
        <is>
          <t>alt</t>
        </is>
      </c>
      <c r="O2725" t="n">
        <v>100</v>
      </c>
      <c r="P2725" t="n">
        <v>0.006676</v>
      </c>
      <c r="Q2725" t="n">
        <v>40</v>
      </c>
      <c r="R2725" t="n">
        <v>0.03607</v>
      </c>
      <c r="S2725">
        <f>IMAGE("https://mitra.stanford.edu/kundaje/oak/projects/neuro-variants/variant_position/credible/roussos_2024/variant_figures/roussos_2024.childhood.Astrocyte/rs59142860_count_position.png",4,220,900)</f>
        <v/>
      </c>
      <c r="T2725">
        <f>IMAGE("https://mitra.stanford.edu/kundaje/oak/projects/neuro-variants/variant_position/credible/roussos_2024/variant_figures/roussos_2024.childhood.Astrocyte/rs59142860_profile_position.png",4,220,900)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0.0156318521999999</v>
      </c>
      <c r="G2726" t="n">
        <v>0.5991354258969852</v>
      </c>
      <c r="H2726" t="n">
        <v>0.0301065943633045</v>
      </c>
      <c r="I2726" t="n">
        <v>0.0290147757922399</v>
      </c>
      <c r="J2726" t="n">
        <v>0.0120362101470846</v>
      </c>
      <c r="K2726" t="n">
        <v>0.66353140600142</v>
      </c>
      <c r="L2726" t="b">
        <v>0</v>
      </c>
      <c r="M2726" t="b">
        <v>0</v>
      </c>
      <c r="N2726" t="inlineStr">
        <is>
          <t>alt</t>
        </is>
      </c>
      <c r="O2726" t="n">
        <v>-15</v>
      </c>
      <c r="P2726" t="n">
        <v>0.0007935</v>
      </c>
      <c r="Q2726" t="n">
        <v>35</v>
      </c>
      <c r="R2726" t="n">
        <v>0.0376</v>
      </c>
      <c r="S2726">
        <f>IMAGE("https://mitra.stanford.edu/kundaje/oak/projects/neuro-variants/variant_position/credible/roussos_2024/variant_figures/roussos_2024.childhood.Astrocyte/rs72933787_count_position.png",4,220,900)</f>
        <v/>
      </c>
      <c r="T2726">
        <f>IMAGE("https://mitra.stanford.edu/kundaje/oak/projects/neuro-variants/variant_position/credible/roussos_2024/variant_figures/roussos_2024.childhood.Astrocyte/rs72933787_profile_position.png",4,220,900)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0.0124104346</v>
      </c>
      <c r="G2727" t="n">
        <v>0.61249005285754</v>
      </c>
      <c r="H2727" t="n">
        <v>0.01870593121833</v>
      </c>
      <c r="I2727" t="n">
        <v>0.1545865256424616</v>
      </c>
      <c r="J2727" t="n">
        <v>0.0280445451978047</v>
      </c>
      <c r="K2727" t="n">
        <v>0.5416369292262254</v>
      </c>
      <c r="L2727" t="b">
        <v>0</v>
      </c>
      <c r="M2727" t="b">
        <v>0</v>
      </c>
      <c r="N2727" t="inlineStr">
        <is>
          <t>alt</t>
        </is>
      </c>
      <c r="O2727" t="n">
        <v>30</v>
      </c>
      <c r="P2727" t="n">
        <v>0.001762</v>
      </c>
      <c r="Q2727" t="n">
        <v>100</v>
      </c>
      <c r="R2727" t="n">
        <v>0.11487</v>
      </c>
      <c r="S2727">
        <f>IMAGE("https://mitra.stanford.edu/kundaje/oak/projects/neuro-variants/variant_position/credible/roussos_2024/variant_figures/roussos_2024.childhood.Astrocyte/rs1289771_count_position.png",4,220,900)</f>
        <v/>
      </c>
      <c r="T2727">
        <f>IMAGE("https://mitra.stanford.edu/kundaje/oak/projects/neuro-variants/variant_position/credible/roussos_2024/variant_figures/roussos_2024.childhood.Astrocyte/rs1289771_profile_position.png",4,220,900)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-0.00929404774</v>
      </c>
      <c r="G2728" t="n">
        <v>0.7365762006070259</v>
      </c>
      <c r="H2728" t="n">
        <v>0.021976611390661</v>
      </c>
      <c r="I2728" t="n">
        <v>0.092549924751388</v>
      </c>
      <c r="J2728" t="n">
        <v>0.07884408417485279</v>
      </c>
      <c r="K2728" t="n">
        <v>0.3747569996790625</v>
      </c>
      <c r="L2728" t="b">
        <v>0</v>
      </c>
      <c r="M2728" t="b">
        <v>0</v>
      </c>
      <c r="N2728" t="inlineStr">
        <is>
          <t>ref</t>
        </is>
      </c>
      <c r="O2728" t="n">
        <v>-70</v>
      </c>
      <c r="P2728" t="n">
        <v>0.00615</v>
      </c>
      <c r="Q2728" t="n">
        <v>-95</v>
      </c>
      <c r="R2728" t="n">
        <v>0.2336</v>
      </c>
      <c r="S2728">
        <f>IMAGE("https://mitra.stanford.edu/kundaje/oak/projects/neuro-variants/variant_position/credible/roussos_2024/variant_figures/roussos_2024.childhood.Astrocyte/rs1289769_count_position.png",4,220,900)</f>
        <v/>
      </c>
      <c r="T2728">
        <f>IMAGE("https://mitra.stanford.edu/kundaje/oak/projects/neuro-variants/variant_position/credible/roussos_2024/variant_figures/roussos_2024.childhood.Astrocyte/rs1289769_profile_position.png",4,220,900)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0.02169004102</v>
      </c>
      <c r="G2729" t="n">
        <v>0.5002745162724388</v>
      </c>
      <c r="H2729" t="n">
        <v>0.0117625989727417</v>
      </c>
      <c r="I2729" t="n">
        <v>0.5389956643068747</v>
      </c>
      <c r="J2729" t="n">
        <v>0.0021600909833375</v>
      </c>
      <c r="K2729" t="n">
        <v>0.8530762091413763</v>
      </c>
      <c r="L2729" t="b">
        <v>0</v>
      </c>
      <c r="M2729" t="b">
        <v>0</v>
      </c>
      <c r="N2729" t="inlineStr">
        <is>
          <t>alt</t>
        </is>
      </c>
      <c r="O2729" t="n">
        <v>-45</v>
      </c>
      <c r="P2729" t="n">
        <v>0.01756</v>
      </c>
      <c r="Q2729" t="n">
        <v>-25</v>
      </c>
      <c r="R2729" t="n">
        <v>0.0462</v>
      </c>
      <c r="S2729">
        <f>IMAGE("https://mitra.stanford.edu/kundaje/oak/projects/neuro-variants/variant_position/credible/roussos_2024/variant_figures/roussos_2024.childhood.Astrocyte/rs62267923_count_position.png",4,220,900)</f>
        <v/>
      </c>
      <c r="T2729">
        <f>IMAGE("https://mitra.stanford.edu/kundaje/oak/projects/neuro-variants/variant_position/credible/roussos_2024/variant_figures/roussos_2024.childhood.Astrocyte/rs62267923_profile_position.png",4,220,900)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0.00437575768</v>
      </c>
      <c r="G2730" t="n">
        <v>0.8630794353795878</v>
      </c>
      <c r="H2730" t="n">
        <v>0.0321040779226155</v>
      </c>
      <c r="I2730" t="n">
        <v>0.0231996044913084</v>
      </c>
      <c r="J2730" t="n">
        <v>0.0177844946684679</v>
      </c>
      <c r="K2730" t="n">
        <v>0.6112132544517862</v>
      </c>
      <c r="L2730" t="b">
        <v>0</v>
      </c>
      <c r="M2730" t="b">
        <v>0</v>
      </c>
      <c r="N2730" t="inlineStr">
        <is>
          <t>alt</t>
        </is>
      </c>
      <c r="O2730" t="n">
        <v>-80</v>
      </c>
      <c r="P2730" t="n">
        <v>0.00547</v>
      </c>
      <c r="Q2730" t="n">
        <v>25</v>
      </c>
      <c r="R2730" t="n">
        <v>0.03592</v>
      </c>
      <c r="S2730">
        <f>IMAGE("https://mitra.stanford.edu/kundaje/oak/projects/neuro-variants/variant_position/credible/roussos_2024/variant_figures/roussos_2024.childhood.Astrocyte/rs1289759_count_position.png",4,220,900)</f>
        <v/>
      </c>
      <c r="T2730">
        <f>IMAGE("https://mitra.stanford.edu/kundaje/oak/projects/neuro-variants/variant_position/credible/roussos_2024/variant_figures/roussos_2024.childhood.Astrocyte/rs1289759_profile_position.png",4,220,900)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-0.0598261191999999</v>
      </c>
      <c r="G2731" t="n">
        <v>0.1812160163019937</v>
      </c>
      <c r="H2731" t="n">
        <v>0.0190452063492182</v>
      </c>
      <c r="I2731" t="n">
        <v>0.1498092795244421</v>
      </c>
      <c r="J2731" t="n">
        <v>0.094808912092693</v>
      </c>
      <c r="K2731" t="n">
        <v>0.3469218763105382</v>
      </c>
      <c r="L2731" t="b">
        <v>0</v>
      </c>
      <c r="M2731" t="b">
        <v>0</v>
      </c>
      <c r="N2731" t="inlineStr">
        <is>
          <t>ref</t>
        </is>
      </c>
      <c r="O2731" t="n">
        <v>-90</v>
      </c>
      <c r="P2731" t="n">
        <v>0.004852</v>
      </c>
      <c r="Q2731" t="n">
        <v>95</v>
      </c>
      <c r="R2731" t="n">
        <v>0.05835</v>
      </c>
      <c r="S2731">
        <f>IMAGE("https://mitra.stanford.edu/kundaje/oak/projects/neuro-variants/variant_position/credible/roussos_2024/variant_figures/roussos_2024.childhood.Astrocyte/rs9842435_count_position.png",4,220,900)</f>
        <v/>
      </c>
      <c r="T2731">
        <f>IMAGE("https://mitra.stanford.edu/kundaje/oak/projects/neuro-variants/variant_position/credible/roussos_2024/variant_figures/roussos_2024.childhood.Astrocyte/rs9842435_profile_position.png",4,220,900)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0.012619557308</v>
      </c>
      <c r="G2732" t="n">
        <v>0.6759662190628358</v>
      </c>
      <c r="H2732" t="n">
        <v>0.0243896485862286</v>
      </c>
      <c r="I2732" t="n">
        <v>0.0644156836522195</v>
      </c>
      <c r="J2732" t="n">
        <v>0.4034958362910551</v>
      </c>
      <c r="K2732" t="n">
        <v>0.0860938398600814</v>
      </c>
      <c r="L2732" t="b">
        <v>0</v>
      </c>
      <c r="M2732" t="b">
        <v>0</v>
      </c>
      <c r="N2732" t="inlineStr">
        <is>
          <t>alt</t>
        </is>
      </c>
      <c r="O2732" t="n">
        <v>60</v>
      </c>
      <c r="P2732" t="n">
        <v>0.0998</v>
      </c>
      <c r="Q2732" t="n">
        <v>55</v>
      </c>
      <c r="R2732" t="n">
        <v>0.2097</v>
      </c>
      <c r="S2732">
        <f>IMAGE("https://mitra.stanford.edu/kundaje/oak/projects/neuro-variants/variant_position/credible/roussos_2024/variant_figures/roussos_2024.childhood.Astrocyte/rs6799997_count_position.png",4,220,900)</f>
        <v/>
      </c>
      <c r="T2732">
        <f>IMAGE("https://mitra.stanford.edu/kundaje/oak/projects/neuro-variants/variant_position/credible/roussos_2024/variant_figures/roussos_2024.childhood.Astrocyte/rs6799997_profile_position.png",4,220,900)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0.0158266248</v>
      </c>
      <c r="G2733" t="n">
        <v>0.4600359846831812</v>
      </c>
      <c r="H2733" t="n">
        <v>0.0148523785869001</v>
      </c>
      <c r="I2733" t="n">
        <v>0.3097138278176111</v>
      </c>
      <c r="J2733" t="n">
        <v>0.0217108225901246</v>
      </c>
      <c r="K2733" t="n">
        <v>0.5884082262905228</v>
      </c>
      <c r="L2733" t="b">
        <v>0</v>
      </c>
      <c r="M2733" t="b">
        <v>0</v>
      </c>
      <c r="N2733" t="inlineStr">
        <is>
          <t>alt</t>
        </is>
      </c>
      <c r="O2733" t="n">
        <v>85</v>
      </c>
      <c r="P2733" t="n">
        <v>0.003597</v>
      </c>
      <c r="Q2733" t="n">
        <v>70</v>
      </c>
      <c r="R2733" t="n">
        <v>0.09950000000000001</v>
      </c>
      <c r="S2733">
        <f>IMAGE("https://mitra.stanford.edu/kundaje/oak/projects/neuro-variants/variant_position/credible/roussos_2024/variant_figures/roussos_2024.childhood.Astrocyte/rs55979908_count_position.png",4,220,900)</f>
        <v/>
      </c>
      <c r="T2733">
        <f>IMAGE("https://mitra.stanford.edu/kundaje/oak/projects/neuro-variants/variant_position/credible/roussos_2024/variant_figures/roussos_2024.childhood.Astrocyte/rs55979908_profile_position.png",4,220,900)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0.000958247016</v>
      </c>
      <c r="G2734" t="n">
        <v>0.9067143309424768</v>
      </c>
      <c r="H2734" t="n">
        <v>0.0203444432765919</v>
      </c>
      <c r="I2734" t="n">
        <v>0.1174007825427584</v>
      </c>
      <c r="J2734" t="n">
        <v>0.0250997992565622</v>
      </c>
      <c r="K2734" t="n">
        <v>0.5681773985772297</v>
      </c>
      <c r="L2734" t="b">
        <v>0</v>
      </c>
      <c r="M2734" t="b">
        <v>0</v>
      </c>
      <c r="N2734" t="inlineStr">
        <is>
          <t>alt</t>
        </is>
      </c>
      <c r="O2734" t="n">
        <v>-95</v>
      </c>
      <c r="P2734" t="n">
        <v>0.02869</v>
      </c>
      <c r="Q2734" t="n">
        <v>100</v>
      </c>
      <c r="R2734" t="n">
        <v>0.1517</v>
      </c>
      <c r="S2734">
        <f>IMAGE("https://mitra.stanford.edu/kundaje/oak/projects/neuro-variants/variant_position/credible/roussos_2024/variant_figures/roussos_2024.childhood.Astrocyte/rs62263082_count_position.png",4,220,900)</f>
        <v/>
      </c>
      <c r="T2734">
        <f>IMAGE("https://mitra.stanford.edu/kundaje/oak/projects/neuro-variants/variant_position/credible/roussos_2024/variant_figures/roussos_2024.childhood.Astrocyte/rs62263082_profile_position.png",4,220,900)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-0.073047852</v>
      </c>
      <c r="G2735" t="n">
        <v>0.1241369029552772</v>
      </c>
      <c r="H2735" t="n">
        <v>0.0194084918934473</v>
      </c>
      <c r="I2735" t="n">
        <v>0.1386692465510278</v>
      </c>
      <c r="J2735" t="n">
        <v>0.1052124598322303</v>
      </c>
      <c r="K2735" t="n">
        <v>0.317932138828052</v>
      </c>
      <c r="L2735" t="b">
        <v>0</v>
      </c>
      <c r="M2735" t="b">
        <v>0</v>
      </c>
      <c r="N2735" t="inlineStr">
        <is>
          <t>ref</t>
        </is>
      </c>
      <c r="O2735" t="n">
        <v>-45</v>
      </c>
      <c r="P2735" t="n">
        <v>0.03088</v>
      </c>
      <c r="Q2735" t="n">
        <v>-45</v>
      </c>
      <c r="R2735" t="n">
        <v>0.1958</v>
      </c>
      <c r="S2735">
        <f>IMAGE("https://mitra.stanford.edu/kundaje/oak/projects/neuro-variants/variant_position/credible/roussos_2024/variant_figures/roussos_2024.childhood.Astrocyte/rs55704727_count_position.png",4,220,900)</f>
        <v/>
      </c>
      <c r="T2735">
        <f>IMAGE("https://mitra.stanford.edu/kundaje/oak/projects/neuro-variants/variant_position/credible/roussos_2024/variant_figures/roussos_2024.childhood.Astrocyte/rs55704727_profile_position.png",4,220,900)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-0.01197554652</v>
      </c>
      <c r="G2736" t="n">
        <v>0.7020412541210848</v>
      </c>
      <c r="H2736" t="n">
        <v>0.0236330008078997</v>
      </c>
      <c r="I2736" t="n">
        <v>0.0714210764275935</v>
      </c>
      <c r="J2736" t="n">
        <v>0.0007884713730698</v>
      </c>
      <c r="K2736" t="n">
        <v>0.9186895939555464</v>
      </c>
      <c r="L2736" t="b">
        <v>0</v>
      </c>
      <c r="M2736" t="b">
        <v>0</v>
      </c>
      <c r="N2736" t="inlineStr">
        <is>
          <t>ref</t>
        </is>
      </c>
      <c r="O2736" t="n">
        <v>25</v>
      </c>
      <c r="P2736" t="n">
        <v>0.001358</v>
      </c>
      <c r="Q2736" t="n">
        <v>-10</v>
      </c>
      <c r="R2736" t="n">
        <v>0.00746</v>
      </c>
      <c r="S2736">
        <f>IMAGE("https://mitra.stanford.edu/kundaje/oak/projects/neuro-variants/variant_position/credible/roussos_2024/variant_figures/roussos_2024.childhood.Astrocyte/rs6769144_count_position.png",4,220,900)</f>
        <v/>
      </c>
      <c r="T2736">
        <f>IMAGE("https://mitra.stanford.edu/kundaje/oak/projects/neuro-variants/variant_position/credible/roussos_2024/variant_figures/roussos_2024.childhood.Astrocyte/rs6769144_profile_position.png",4,220,900)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0.0029522276399999</v>
      </c>
      <c r="G2737" t="n">
        <v>0.3526738143516217</v>
      </c>
      <c r="H2737" t="n">
        <v>0.0221977665813447</v>
      </c>
      <c r="I2737" t="n">
        <v>0.0895934349870913</v>
      </c>
      <c r="J2737" t="n">
        <v>0.0507285536549807</v>
      </c>
      <c r="K2737" t="n">
        <v>0.4529328293398131</v>
      </c>
      <c r="L2737" t="b">
        <v>0</v>
      </c>
      <c r="M2737" t="b">
        <v>0</v>
      </c>
      <c r="N2737" t="inlineStr">
        <is>
          <t>alt</t>
        </is>
      </c>
      <c r="O2737" t="n">
        <v>-75</v>
      </c>
      <c r="P2737" t="n">
        <v>0.01021</v>
      </c>
      <c r="Q2737" t="n">
        <v>-90</v>
      </c>
      <c r="R2737" t="n">
        <v>0.04443</v>
      </c>
      <c r="S2737">
        <f>IMAGE("https://mitra.stanford.edu/kundaje/oak/projects/neuro-variants/variant_position/credible/roussos_2024/variant_figures/roussos_2024.childhood.Astrocyte/rs62263119_count_position.png",4,220,900)</f>
        <v/>
      </c>
      <c r="T2737">
        <f>IMAGE("https://mitra.stanford.edu/kundaje/oak/projects/neuro-variants/variant_position/credible/roussos_2024/variant_figures/roussos_2024.childhood.Astrocyte/rs62263119_profile_position.png",4,220,900)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0.1769071652</v>
      </c>
      <c r="G2738" t="n">
        <v>0.0213769976035609</v>
      </c>
      <c r="H2738" t="n">
        <v>0.0260290882319587</v>
      </c>
      <c r="I2738" t="n">
        <v>0.0528307971498681</v>
      </c>
      <c r="J2738" t="n">
        <v>0.0739041163853968</v>
      </c>
      <c r="K2738" t="n">
        <v>0.3878656699374379</v>
      </c>
      <c r="L2738" t="b">
        <v>0</v>
      </c>
      <c r="M2738" t="b">
        <v>0</v>
      </c>
      <c r="N2738" t="inlineStr">
        <is>
          <t>alt</t>
        </is>
      </c>
      <c r="O2738" t="n">
        <v>65</v>
      </c>
      <c r="P2738" t="n">
        <v>0.0056</v>
      </c>
      <c r="Q2738" t="n">
        <v>-75</v>
      </c>
      <c r="R2738" t="n">
        <v>0.1375</v>
      </c>
      <c r="S2738">
        <f>IMAGE("https://mitra.stanford.edu/kundaje/oak/projects/neuro-variants/variant_position/credible/roussos_2024/variant_figures/roussos_2024.childhood.Astrocyte/rs62263120_count_position.png",4,220,900)</f>
        <v/>
      </c>
      <c r="T2738">
        <f>IMAGE("https://mitra.stanford.edu/kundaje/oak/projects/neuro-variants/variant_position/credible/roussos_2024/variant_figures/roussos_2024.childhood.Astrocyte/rs62263120_profile_position.png",4,220,900)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-0.0838682164</v>
      </c>
      <c r="G2739" t="n">
        <v>0.1040621650159953</v>
      </c>
      <c r="H2739" t="n">
        <v>0.0117044620029399</v>
      </c>
      <c r="I2739" t="n">
        <v>0.543877636780686</v>
      </c>
      <c r="J2739" t="n">
        <v>0.0015219863677649</v>
      </c>
      <c r="K2739" t="n">
        <v>0.8741692592455651</v>
      </c>
      <c r="L2739" t="b">
        <v>0</v>
      </c>
      <c r="M2739" t="b">
        <v>0</v>
      </c>
      <c r="N2739" t="inlineStr">
        <is>
          <t>ref</t>
        </is>
      </c>
      <c r="O2739" t="n">
        <v>60</v>
      </c>
      <c r="P2739" t="n">
        <v>0.003569</v>
      </c>
      <c r="Q2739" t="n">
        <v>-70</v>
      </c>
      <c r="R2739" t="n">
        <v>0.0711</v>
      </c>
      <c r="S2739">
        <f>IMAGE("https://mitra.stanford.edu/kundaje/oak/projects/neuro-variants/variant_position/credible/roussos_2024/variant_figures/roussos_2024.childhood.Astrocyte/rs62264763_count_position.png",4,220,900)</f>
        <v/>
      </c>
      <c r="T2739">
        <f>IMAGE("https://mitra.stanford.edu/kundaje/oak/projects/neuro-variants/variant_position/credible/roussos_2024/variant_figures/roussos_2024.childhood.Astrocyte/rs62264763_profile_position.png",4,220,900)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-0.1018343073999999</v>
      </c>
      <c r="G2740" t="n">
        <v>0.06952176515318211</v>
      </c>
      <c r="H2740" t="n">
        <v>0.0554523812054054</v>
      </c>
      <c r="I2740" t="n">
        <v>0.0026991881602503</v>
      </c>
      <c r="J2740" t="n">
        <v>0.526018028745239</v>
      </c>
      <c r="K2740" t="n">
        <v>0.0474826073693697</v>
      </c>
      <c r="L2740" t="b">
        <v>1</v>
      </c>
      <c r="M2740" t="b">
        <v>1</v>
      </c>
      <c r="N2740" t="inlineStr">
        <is>
          <t>ref</t>
        </is>
      </c>
      <c r="O2740" t="n">
        <v>45</v>
      </c>
      <c r="P2740" t="n">
        <v>0.0172</v>
      </c>
      <c r="Q2740" t="n">
        <v>-95</v>
      </c>
      <c r="R2740" t="n">
        <v>0.1313</v>
      </c>
      <c r="S2740">
        <f>IMAGE("https://mitra.stanford.edu/kundaje/oak/projects/neuro-variants/variant_position/credible/roussos_2024/variant_figures/roussos_2024.childhood.Astrocyte/rs62264764_count_position.png",4,220,900)</f>
        <v/>
      </c>
      <c r="T2740">
        <f>IMAGE("https://mitra.stanford.edu/kundaje/oak/projects/neuro-variants/variant_position/credible/roussos_2024/variant_figures/roussos_2024.childhood.Astrocyte/rs62264764_profile_position.png",4,220,900)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-0.0657050812</v>
      </c>
      <c r="G2741" t="n">
        <v>0.151366773195296</v>
      </c>
      <c r="H2741" t="n">
        <v>0.0126816380571484</v>
      </c>
      <c r="I2741" t="n">
        <v>0.4500645119388031</v>
      </c>
      <c r="J2741" t="n">
        <v>0.0341714181035468</v>
      </c>
      <c r="K2741" t="n">
        <v>0.509518858349765</v>
      </c>
      <c r="L2741" t="b">
        <v>0</v>
      </c>
      <c r="M2741" t="b">
        <v>0</v>
      </c>
      <c r="N2741" t="inlineStr">
        <is>
          <t>ref</t>
        </is>
      </c>
      <c r="O2741" t="n">
        <v>-65</v>
      </c>
      <c r="P2741" t="n">
        <v>0.0387</v>
      </c>
      <c r="Q2741" t="n">
        <v>95</v>
      </c>
      <c r="R2741" t="n">
        <v>0.09955</v>
      </c>
      <c r="S2741">
        <f>IMAGE("https://mitra.stanford.edu/kundaje/oak/projects/neuro-variants/variant_position/credible/roussos_2024/variant_figures/roussos_2024.childhood.Astrocyte/rs7649429_count_position.png",4,220,900)</f>
        <v/>
      </c>
      <c r="T2741">
        <f>IMAGE("https://mitra.stanford.edu/kundaje/oak/projects/neuro-variants/variant_position/credible/roussos_2024/variant_figures/roussos_2024.childhood.Astrocyte/rs7649429_profile_position.png",4,220,900)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-0.00602003886</v>
      </c>
      <c r="G2742" t="n">
        <v>0.7785776637959614</v>
      </c>
      <c r="H2742" t="n">
        <v>0.0261499353660808</v>
      </c>
      <c r="I2742" t="n">
        <v>0.049851722074919</v>
      </c>
      <c r="J2742" t="n">
        <v>0.0303046262584628</v>
      </c>
      <c r="K2742" t="n">
        <v>0.543256799114872</v>
      </c>
      <c r="L2742" t="b">
        <v>0</v>
      </c>
      <c r="M2742" t="b">
        <v>0</v>
      </c>
      <c r="N2742" t="inlineStr">
        <is>
          <t>ref</t>
        </is>
      </c>
      <c r="O2742" t="n">
        <v>100</v>
      </c>
      <c r="P2742" t="n">
        <v>0.00209</v>
      </c>
      <c r="Q2742" t="n">
        <v>100</v>
      </c>
      <c r="R2742" t="n">
        <v>0.0585</v>
      </c>
      <c r="S2742">
        <f>IMAGE("https://mitra.stanford.edu/kundaje/oak/projects/neuro-variants/variant_position/credible/roussos_2024/variant_figures/roussos_2024.childhood.Astrocyte/rs7631320_count_position.png",4,220,900)</f>
        <v/>
      </c>
      <c r="T2742">
        <f>IMAGE("https://mitra.stanford.edu/kundaje/oak/projects/neuro-variants/variant_position/credible/roussos_2024/variant_figures/roussos_2024.childhood.Astrocyte/rs7631320_profile_position.png",4,220,900)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-0.08126050579999999</v>
      </c>
      <c r="G2743" t="n">
        <v>0.1078337822654068</v>
      </c>
      <c r="H2743" t="n">
        <v>0.0146995864115052</v>
      </c>
      <c r="I2743" t="n">
        <v>0.3204921812225048</v>
      </c>
      <c r="J2743" t="n">
        <v>0.0049094364681367</v>
      </c>
      <c r="K2743" t="n">
        <v>0.7787819257376977</v>
      </c>
      <c r="L2743" t="b">
        <v>0</v>
      </c>
      <c r="M2743" t="b">
        <v>0</v>
      </c>
      <c r="N2743" t="inlineStr">
        <is>
          <t>ref</t>
        </is>
      </c>
      <c r="O2743" t="n">
        <v>-100</v>
      </c>
      <c r="P2743" t="n">
        <v>0.02959</v>
      </c>
      <c r="Q2743" t="n">
        <v>85</v>
      </c>
      <c r="R2743" t="n">
        <v>0.05368</v>
      </c>
      <c r="S2743">
        <f>IMAGE("https://mitra.stanford.edu/kundaje/oak/projects/neuro-variants/variant_position/credible/roussos_2024/variant_figures/roussos_2024.childhood.Astrocyte/rs62264778_count_position.png",4,220,900)</f>
        <v/>
      </c>
      <c r="T2743">
        <f>IMAGE("https://mitra.stanford.edu/kundaje/oak/projects/neuro-variants/variant_position/credible/roussos_2024/variant_figures/roussos_2024.childhood.Astrocyte/rs62264778_profile_position.png",4,220,900)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0.130435872</v>
      </c>
      <c r="G2744" t="n">
        <v>0.0418440802746203</v>
      </c>
      <c r="H2744" t="n">
        <v>0.0231776419397912</v>
      </c>
      <c r="I2744" t="n">
        <v>0.07974728046755269</v>
      </c>
      <c r="J2744" t="n">
        <v>0.0537809225038736</v>
      </c>
      <c r="K2744" t="n">
        <v>0.4282354530862958</v>
      </c>
      <c r="L2744" t="b">
        <v>0</v>
      </c>
      <c r="M2744" t="b">
        <v>0</v>
      </c>
      <c r="N2744" t="inlineStr">
        <is>
          <t>alt</t>
        </is>
      </c>
      <c r="O2744" t="n">
        <v>50</v>
      </c>
      <c r="P2744" t="n">
        <v>0.00357</v>
      </c>
      <c r="Q2744" t="n">
        <v>60</v>
      </c>
      <c r="R2744" t="n">
        <v>0.02734</v>
      </c>
      <c r="S2744">
        <f>IMAGE("https://mitra.stanford.edu/kundaje/oak/projects/neuro-variants/variant_position/credible/roussos_2024/variant_figures/roussos_2024.childhood.Astrocyte/rs62264780_count_position.png",4,220,900)</f>
        <v/>
      </c>
      <c r="T2744">
        <f>IMAGE("https://mitra.stanford.edu/kundaje/oak/projects/neuro-variants/variant_position/credible/roussos_2024/variant_figures/roussos_2024.childhood.Astrocyte/rs62264780_profile_position.png",4,220,900)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0.0221407562</v>
      </c>
      <c r="G2745" t="n">
        <v>0.4810402878363282</v>
      </c>
      <c r="H2745" t="n">
        <v>0.0100955210856832</v>
      </c>
      <c r="I2745" t="n">
        <v>0.7020606641175063</v>
      </c>
      <c r="J2745" t="n">
        <v>0.0009861616786118999</v>
      </c>
      <c r="K2745" t="n">
        <v>0.9114736853490444</v>
      </c>
      <c r="L2745" t="b">
        <v>0</v>
      </c>
      <c r="M2745" t="b">
        <v>0</v>
      </c>
      <c r="N2745" t="inlineStr">
        <is>
          <t>alt</t>
        </is>
      </c>
      <c r="O2745" t="n">
        <v>-70</v>
      </c>
      <c r="P2745" t="n">
        <v>0.002617</v>
      </c>
      <c r="Q2745" t="n">
        <v>100</v>
      </c>
      <c r="R2745" t="n">
        <v>0.02373</v>
      </c>
      <c r="S2745">
        <f>IMAGE("https://mitra.stanford.edu/kundaje/oak/projects/neuro-variants/variant_position/credible/roussos_2024/variant_figures/roussos_2024.childhood.Astrocyte/rs73168397_count_position.png",4,220,900)</f>
        <v/>
      </c>
      <c r="T2745">
        <f>IMAGE("https://mitra.stanford.edu/kundaje/oak/projects/neuro-variants/variant_position/credible/roussos_2024/variant_figures/roussos_2024.childhood.Astrocyte/rs73168397_profile_position.png",4,220,900)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0.287532148</v>
      </c>
      <c r="G2746" t="n">
        <v>0.0063820596413852</v>
      </c>
      <c r="H2746" t="n">
        <v>0.0268008792852488</v>
      </c>
      <c r="I2746" t="n">
        <v>0.0458599570889815</v>
      </c>
      <c r="J2746" t="n">
        <v>0.0386572324883789</v>
      </c>
      <c r="K2746" t="n">
        <v>0.5330790500693781</v>
      </c>
      <c r="L2746" t="b">
        <v>1</v>
      </c>
      <c r="M2746" t="b">
        <v>1</v>
      </c>
      <c r="N2746" t="inlineStr">
        <is>
          <t>alt</t>
        </is>
      </c>
      <c r="O2746" t="n">
        <v>-100</v>
      </c>
      <c r="P2746" t="n">
        <v>0.007225</v>
      </c>
      <c r="Q2746" t="n">
        <v>-30</v>
      </c>
      <c r="R2746" t="n">
        <v>0.06714000000000001</v>
      </c>
      <c r="S2746">
        <f>IMAGE("https://mitra.stanford.edu/kundaje/oak/projects/neuro-variants/variant_position/credible/roussos_2024/variant_figures/roussos_2024.childhood.Astrocyte/rs62264819_count_position.png",4,220,900)</f>
        <v/>
      </c>
      <c r="T2746">
        <f>IMAGE("https://mitra.stanford.edu/kundaje/oak/projects/neuro-variants/variant_position/credible/roussos_2024/variant_figures/roussos_2024.childhood.Astrocyte/rs62264819_profile_position.png",4,220,900)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0.0891354726</v>
      </c>
      <c r="G2747" t="n">
        <v>0.0909903694712869</v>
      </c>
      <c r="H2747" t="n">
        <v>0.0202753023631958</v>
      </c>
      <c r="I2747" t="n">
        <v>0.1244641311641907</v>
      </c>
      <c r="J2747" t="n">
        <v>0.026552326868326</v>
      </c>
      <c r="K2747" t="n">
        <v>0.5564253019967697</v>
      </c>
      <c r="L2747" t="b">
        <v>0</v>
      </c>
      <c r="M2747" t="b">
        <v>0</v>
      </c>
      <c r="N2747" t="inlineStr">
        <is>
          <t>alt</t>
        </is>
      </c>
      <c r="O2747" t="n">
        <v>-60</v>
      </c>
      <c r="P2747" t="n">
        <v>0.01764</v>
      </c>
      <c r="Q2747" t="n">
        <v>-55</v>
      </c>
      <c r="R2747" t="n">
        <v>0.08856</v>
      </c>
      <c r="S2747">
        <f>IMAGE("https://mitra.stanford.edu/kundaje/oak/projects/neuro-variants/variant_position/credible/roussos_2024/variant_figures/roussos_2024.childhood.Astrocyte/rs1499972_count_position.png",4,220,900)</f>
        <v/>
      </c>
      <c r="T2747">
        <f>IMAGE("https://mitra.stanford.edu/kundaje/oak/projects/neuro-variants/variant_position/credible/roussos_2024/variant_figures/roussos_2024.childhood.Astrocyte/rs1499972_profile_position.png",4,220,900)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-0.2713285179999999</v>
      </c>
      <c r="G2748" t="n">
        <v>0.008046891128002699</v>
      </c>
      <c r="H2748" t="n">
        <v>0.0217098450997511</v>
      </c>
      <c r="I2748" t="n">
        <v>0.105485514492561</v>
      </c>
      <c r="J2748" t="n">
        <v>0.22461282468152</v>
      </c>
      <c r="K2748" t="n">
        <v>0.183638299972249</v>
      </c>
      <c r="L2748" t="b">
        <v>1</v>
      </c>
      <c r="M2748" t="b">
        <v>1</v>
      </c>
      <c r="N2748" t="inlineStr">
        <is>
          <t>ref</t>
        </is>
      </c>
      <c r="O2748" t="n">
        <v>-45</v>
      </c>
      <c r="P2748" t="n">
        <v>0.00525</v>
      </c>
      <c r="Q2748" t="n">
        <v>-45</v>
      </c>
      <c r="R2748" t="n">
        <v>0.03564</v>
      </c>
      <c r="S2748">
        <f>IMAGE("https://mitra.stanford.edu/kundaje/oak/projects/neuro-variants/variant_position/credible/roussos_2024/variant_figures/roussos_2024.childhood.Astrocyte/rs2925312_count_position.png",4,220,900)</f>
        <v/>
      </c>
      <c r="T2748">
        <f>IMAGE("https://mitra.stanford.edu/kundaje/oak/projects/neuro-variants/variant_position/credible/roussos_2024/variant_figures/roussos_2024.childhood.Astrocyte/rs2925312_profile_position.png",4,220,900)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0.029130679</v>
      </c>
      <c r="G2749" t="n">
        <v>0.3917186173192625</v>
      </c>
      <c r="H2749" t="n">
        <v>0.0090456010978492</v>
      </c>
      <c r="I2749" t="n">
        <v>0.8112893157815756</v>
      </c>
      <c r="J2749" t="n">
        <v>0.0278323525146359</v>
      </c>
      <c r="K2749" t="n">
        <v>0.5378531262672349</v>
      </c>
      <c r="L2749" t="b">
        <v>0</v>
      </c>
      <c r="M2749" t="b">
        <v>0</v>
      </c>
      <c r="N2749" t="inlineStr">
        <is>
          <t>alt</t>
        </is>
      </c>
      <c r="O2749" t="n">
        <v>-15</v>
      </c>
      <c r="P2749" t="n">
        <v>0.002823</v>
      </c>
      <c r="Q2749" t="n">
        <v>55</v>
      </c>
      <c r="R2749" t="n">
        <v>0.108</v>
      </c>
      <c r="S2749">
        <f>IMAGE("https://mitra.stanford.edu/kundaje/oak/projects/neuro-variants/variant_position/credible/roussos_2024/variant_figures/roussos_2024.childhood.Astrocyte/rs843852_count_position.png",4,220,900)</f>
        <v/>
      </c>
      <c r="T2749">
        <f>IMAGE("https://mitra.stanford.edu/kundaje/oak/projects/neuro-variants/variant_position/credible/roussos_2024/variant_figures/roussos_2024.childhood.Astrocyte/rs843852_profile_position.png",4,220,900)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-0.193599728</v>
      </c>
      <c r="G2750" t="n">
        <v>0.0173920108017522</v>
      </c>
      <c r="H2750" t="n">
        <v>0.0231430914448236</v>
      </c>
      <c r="I2750" t="n">
        <v>0.0778490703470946</v>
      </c>
      <c r="J2750" t="n">
        <v>0.005967346751849</v>
      </c>
      <c r="K2750" t="n">
        <v>0.7817445845289883</v>
      </c>
      <c r="L2750" t="b">
        <v>1</v>
      </c>
      <c r="M2750" t="b">
        <v>0</v>
      </c>
      <c r="N2750" t="inlineStr">
        <is>
          <t>ref</t>
        </is>
      </c>
      <c r="O2750" t="n">
        <v>-95</v>
      </c>
      <c r="P2750" t="n">
        <v>0.014496</v>
      </c>
      <c r="Q2750" t="n">
        <v>50</v>
      </c>
      <c r="R2750" t="n">
        <v>0.10956</v>
      </c>
      <c r="S2750">
        <f>IMAGE("https://mitra.stanford.edu/kundaje/oak/projects/neuro-variants/variant_position/credible/roussos_2024/variant_figures/roussos_2024.childhood.Astrocyte/rs1093464_count_position.png",4,220,900)</f>
        <v/>
      </c>
      <c r="T2750">
        <f>IMAGE("https://mitra.stanford.edu/kundaje/oak/projects/neuro-variants/variant_position/credible/roussos_2024/variant_figures/roussos_2024.childhood.Astrocyte/rs1093464_profile_position.png",4,220,900)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-0.0523372304</v>
      </c>
      <c r="G2751" t="n">
        <v>0.2089839179769129</v>
      </c>
      <c r="H2751" t="n">
        <v>0.0131463221887537</v>
      </c>
      <c r="I2751" t="n">
        <v>0.419344756966284</v>
      </c>
      <c r="J2751" t="n">
        <v>0.0040682985657911</v>
      </c>
      <c r="K2751" t="n">
        <v>0.7992128866169872</v>
      </c>
      <c r="L2751" t="b">
        <v>0</v>
      </c>
      <c r="M2751" t="b">
        <v>0</v>
      </c>
      <c r="N2751" t="inlineStr">
        <is>
          <t>ref</t>
        </is>
      </c>
      <c r="O2751" t="n">
        <v>70</v>
      </c>
      <c r="P2751" t="n">
        <v>0.04102</v>
      </c>
      <c r="Q2751" t="n">
        <v>90</v>
      </c>
      <c r="R2751" t="n">
        <v>0.1194</v>
      </c>
      <c r="S2751">
        <f>IMAGE("https://mitra.stanford.edu/kundaje/oak/projects/neuro-variants/variant_position/credible/roussos_2024/variant_figures/roussos_2024.childhood.Astrocyte/rs846184_count_position.png",4,220,900)</f>
        <v/>
      </c>
      <c r="T2751">
        <f>IMAGE("https://mitra.stanford.edu/kundaje/oak/projects/neuro-variants/variant_position/credible/roussos_2024/variant_figures/roussos_2024.childhood.Astrocyte/rs846184_profile_position.png",4,220,900)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0.1645601688</v>
      </c>
      <c r="G2752" t="n">
        <v>0.0271016146288194</v>
      </c>
      <c r="H2752" t="n">
        <v>0.0144779016881892</v>
      </c>
      <c r="I2752" t="n">
        <v>0.3202108860444065</v>
      </c>
      <c r="J2752" t="n">
        <v>0.0054658697991801</v>
      </c>
      <c r="K2752" t="n">
        <v>0.7871917728072962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0.008574999999999999</v>
      </c>
      <c r="Q2752" t="n">
        <v>-60</v>
      </c>
      <c r="R2752" t="n">
        <v>0.01855</v>
      </c>
      <c r="S2752">
        <f>IMAGE("https://mitra.stanford.edu/kundaje/oak/projects/neuro-variants/variant_position/credible/roussos_2024/variant_figures/roussos_2024.childhood.Astrocyte/rs1499976_count_position.png",4,220,900)</f>
        <v/>
      </c>
      <c r="T2752">
        <f>IMAGE("https://mitra.stanford.edu/kundaje/oak/projects/neuro-variants/variant_position/credible/roussos_2024/variant_figures/roussos_2024.childhood.Astrocyte/rs1499976_profile_position.png",4,220,900)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0.29659123</v>
      </c>
      <c r="G2753" t="n">
        <v>0.0061810105525428</v>
      </c>
      <c r="H2753" t="n">
        <v>0.0491755837846859</v>
      </c>
      <c r="I2753" t="n">
        <v>0.0051250093347351</v>
      </c>
      <c r="J2753" t="n">
        <v>0.1572469907566424</v>
      </c>
      <c r="K2753" t="n">
        <v>0.2467545904978594</v>
      </c>
      <c r="L2753" t="b">
        <v>1</v>
      </c>
      <c r="M2753" t="b">
        <v>1</v>
      </c>
      <c r="N2753" t="inlineStr">
        <is>
          <t>alt</t>
        </is>
      </c>
      <c r="O2753" t="n">
        <v>95</v>
      </c>
      <c r="P2753" t="n">
        <v>0.009010000000000001</v>
      </c>
      <c r="Q2753" t="n">
        <v>-95</v>
      </c>
      <c r="R2753" t="n">
        <v>0.0794</v>
      </c>
      <c r="S2753">
        <f>IMAGE("https://mitra.stanford.edu/kundaje/oak/projects/neuro-variants/variant_position/credible/roussos_2024/variant_figures/roussos_2024.childhood.Astrocyte/rs7612065_count_position.png",4,220,900)</f>
        <v/>
      </c>
      <c r="T2753">
        <f>IMAGE("https://mitra.stanford.edu/kundaje/oak/projects/neuro-variants/variant_position/credible/roussos_2024/variant_figures/roussos_2024.childhood.Astrocyte/rs7612065_profile_position.png",4,220,900)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0.0245919578</v>
      </c>
      <c r="G2754" t="n">
        <v>0.4447998577376653</v>
      </c>
      <c r="H2754" t="n">
        <v>0.0532437478919854</v>
      </c>
      <c r="I2754" t="n">
        <v>0.0032360469159534</v>
      </c>
      <c r="J2754" t="n">
        <v>0.0101600604520161</v>
      </c>
      <c r="K2754" t="n">
        <v>0.688655412287136</v>
      </c>
      <c r="L2754" t="b">
        <v>1</v>
      </c>
      <c r="M2754" t="b">
        <v>0</v>
      </c>
      <c r="N2754" t="inlineStr">
        <is>
          <t>alt</t>
        </is>
      </c>
      <c r="O2754" t="n">
        <v>-35</v>
      </c>
      <c r="P2754" t="n">
        <v>0.008359999999999999</v>
      </c>
      <c r="Q2754" t="n">
        <v>65</v>
      </c>
      <c r="R2754" t="n">
        <v>0.1594</v>
      </c>
      <c r="S2754">
        <f>IMAGE("https://mitra.stanford.edu/kundaje/oak/projects/neuro-variants/variant_position/credible/roussos_2024/variant_figures/roussos_2024.childhood.Astrocyte/rs6439112_count_position.png",4,220,900)</f>
        <v/>
      </c>
      <c r="T2754">
        <f>IMAGE("https://mitra.stanford.edu/kundaje/oak/projects/neuro-variants/variant_position/credible/roussos_2024/variant_figures/roussos_2024.childhood.Astrocyte/rs6439112_profile_position.png",4,220,900)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0.0599950369999999</v>
      </c>
      <c r="G2755" t="n">
        <v>0.08975616987714009</v>
      </c>
      <c r="H2755" t="n">
        <v>0.0149341934380887</v>
      </c>
      <c r="I2755" t="n">
        <v>0.291316146927709</v>
      </c>
      <c r="J2755" t="n">
        <v>0.1980734736247547</v>
      </c>
      <c r="K2755" t="n">
        <v>0.2019531872434818</v>
      </c>
      <c r="L2755" t="b">
        <v>0</v>
      </c>
      <c r="M2755" t="b">
        <v>0</v>
      </c>
      <c r="N2755" t="inlineStr">
        <is>
          <t>alt</t>
        </is>
      </c>
      <c r="O2755" t="n">
        <v>-95</v>
      </c>
      <c r="P2755" t="n">
        <v>0.007362</v>
      </c>
      <c r="Q2755" t="n">
        <v>90</v>
      </c>
      <c r="R2755" t="n">
        <v>0.3025</v>
      </c>
      <c r="S2755">
        <f>IMAGE("https://mitra.stanford.edu/kundaje/oak/projects/neuro-variants/variant_position/credible/roussos_2024/variant_figures/roussos_2024.childhood.Astrocyte/rs4857866_count_position.png",4,220,900)</f>
        <v/>
      </c>
      <c r="T2755">
        <f>IMAGE("https://mitra.stanford.edu/kundaje/oak/projects/neuro-variants/variant_position/credible/roussos_2024/variant_figures/roussos_2024.childhood.Astrocyte/rs4857866_profile_position.png",4,220,900)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0.00781463432</v>
      </c>
      <c r="G2756" t="n">
        <v>0.4344972425598952</v>
      </c>
      <c r="H2756" t="n">
        <v>0.016807338529214</v>
      </c>
      <c r="I2756" t="n">
        <v>0.2228948984154891</v>
      </c>
      <c r="J2756" t="n">
        <v>0.2961904543823895</v>
      </c>
      <c r="K2756" t="n">
        <v>0.1345092419850084</v>
      </c>
      <c r="L2756" t="b">
        <v>0</v>
      </c>
      <c r="M2756" t="b">
        <v>0</v>
      </c>
      <c r="N2756" t="inlineStr">
        <is>
          <t>alt</t>
        </is>
      </c>
      <c r="O2756" t="n">
        <v>70</v>
      </c>
      <c r="P2756" t="n">
        <v>0.01917</v>
      </c>
      <c r="Q2756" t="n">
        <v>40</v>
      </c>
      <c r="R2756" t="n">
        <v>0.1997</v>
      </c>
      <c r="S2756">
        <f>IMAGE("https://mitra.stanford.edu/kundaje/oak/projects/neuro-variants/variant_position/credible/roussos_2024/variant_figures/roussos_2024.childhood.Astrocyte/rs2999052_count_position.png",4,220,900)</f>
        <v/>
      </c>
      <c r="T2756">
        <f>IMAGE("https://mitra.stanford.edu/kundaje/oak/projects/neuro-variants/variant_position/credible/roussos_2024/variant_figures/roussos_2024.childhood.Astrocyte/rs2999052_profile_position.png",4,220,900)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0.0074065808</v>
      </c>
      <c r="G2757" t="n">
        <v>0.4993748656201637</v>
      </c>
      <c r="H2757" t="n">
        <v>0.0103227327292</v>
      </c>
      <c r="I2757" t="n">
        <v>0.6894316400987789</v>
      </c>
      <c r="J2757" t="n">
        <v>0.0130032897498721</v>
      </c>
      <c r="K2757" t="n">
        <v>0.6589316682769157</v>
      </c>
      <c r="L2757" t="b">
        <v>0</v>
      </c>
      <c r="M2757" t="b">
        <v>0</v>
      </c>
      <c r="N2757" t="inlineStr">
        <is>
          <t>alt</t>
        </is>
      </c>
      <c r="O2757" t="n">
        <v>-95</v>
      </c>
      <c r="P2757" t="n">
        <v>0.0316</v>
      </c>
      <c r="Q2757" t="n">
        <v>0</v>
      </c>
      <c r="R2757" t="n">
        <v>0</v>
      </c>
      <c r="S2757">
        <f>IMAGE("https://mitra.stanford.edu/kundaje/oak/projects/neuro-variants/variant_position/credible/roussos_2024/variant_figures/roussos_2024.childhood.Astrocyte/rs2687729_count_position.png",4,220,900)</f>
        <v/>
      </c>
      <c r="T2757">
        <f>IMAGE("https://mitra.stanford.edu/kundaje/oak/projects/neuro-variants/variant_position/credible/roussos_2024/variant_figures/roussos_2024.childhood.Astrocyte/rs2687729_profile_position.png",4,220,900)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0.002983231488</v>
      </c>
      <c r="G2758" t="n">
        <v>0.7794867339582243</v>
      </c>
      <c r="H2758" t="n">
        <v>0.0288269508724679</v>
      </c>
      <c r="I2758" t="n">
        <v>0.0349000192351418</v>
      </c>
      <c r="J2758" t="n">
        <v>0.0071069283200903</v>
      </c>
      <c r="K2758" t="n">
        <v>0.7384272434661509</v>
      </c>
      <c r="L2758" t="b">
        <v>0</v>
      </c>
      <c r="M2758" t="b">
        <v>0</v>
      </c>
      <c r="N2758" t="inlineStr">
        <is>
          <t>alt</t>
        </is>
      </c>
      <c r="O2758" t="n">
        <v>-15</v>
      </c>
      <c r="P2758" t="n">
        <v>0.01282</v>
      </c>
      <c r="Q2758" t="n">
        <v>-20</v>
      </c>
      <c r="R2758" t="n">
        <v>0.0636</v>
      </c>
      <c r="S2758">
        <f>IMAGE("https://mitra.stanford.edu/kundaje/oak/projects/neuro-variants/variant_position/credible/roussos_2024/variant_figures/roussos_2024.childhood.Astrocyte/rs2999059_count_position.png",4,220,900)</f>
        <v/>
      </c>
      <c r="T2758">
        <f>IMAGE("https://mitra.stanford.edu/kundaje/oak/projects/neuro-variants/variant_position/credible/roussos_2024/variant_figures/roussos_2024.childhood.Astrocyte/rs2999059_profile_position.png",4,220,900)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-0.241449992</v>
      </c>
      <c r="G2759" t="n">
        <v>0.0104294893775421</v>
      </c>
      <c r="H2759" t="n">
        <v>0.024043821737166</v>
      </c>
      <c r="I2759" t="n">
        <v>0.07322295628683149</v>
      </c>
      <c r="J2759" t="n">
        <v>0.6110698938273301</v>
      </c>
      <c r="K2759" t="n">
        <v>0.0319774763687838</v>
      </c>
      <c r="L2759" t="b">
        <v>1</v>
      </c>
      <c r="M2759" t="b">
        <v>0</v>
      </c>
      <c r="N2759" t="inlineStr">
        <is>
          <t>ref</t>
        </is>
      </c>
      <c r="O2759" t="n">
        <v>25</v>
      </c>
      <c r="P2759" t="n">
        <v>0.00238</v>
      </c>
      <c r="Q2759" t="n">
        <v>-20</v>
      </c>
      <c r="R2759" t="n">
        <v>0.06444999999999999</v>
      </c>
      <c r="S2759">
        <f>IMAGE("https://mitra.stanford.edu/kundaje/oak/projects/neuro-variants/variant_position/credible/roussos_2024/variant_figures/roussos_2024.childhood.Astrocyte/rs940062_count_position.png",4,220,900)</f>
        <v/>
      </c>
      <c r="T2759">
        <f>IMAGE("https://mitra.stanford.edu/kundaje/oak/projects/neuro-variants/variant_position/credible/roussos_2024/variant_figures/roussos_2024.childhood.Astrocyte/rs940062_profile_position.png",4,220,900)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0.00522210746</v>
      </c>
      <c r="G2760" t="n">
        <v>0.6636668399252144</v>
      </c>
      <c r="H2760" t="n">
        <v>0.009766199478865799</v>
      </c>
      <c r="I2760" t="n">
        <v>0.7386262679873534</v>
      </c>
      <c r="J2760" t="n">
        <v>0.0436712387320341</v>
      </c>
      <c r="K2760" t="n">
        <v>0.4906890525911496</v>
      </c>
      <c r="L2760" t="b">
        <v>0</v>
      </c>
      <c r="M2760" t="b">
        <v>0</v>
      </c>
      <c r="N2760" t="inlineStr">
        <is>
          <t>alt</t>
        </is>
      </c>
      <c r="O2760" t="n">
        <v>30</v>
      </c>
      <c r="P2760" t="n">
        <v>0.00899</v>
      </c>
      <c r="Q2760" t="n">
        <v>70</v>
      </c>
      <c r="R2760" t="n">
        <v>0.05994</v>
      </c>
      <c r="S2760">
        <f>IMAGE("https://mitra.stanford.edu/kundaje/oak/projects/neuro-variants/variant_position/credible/roussos_2024/variant_figures/roussos_2024.childhood.Astrocyte/rs2999058_count_position.png",4,220,900)</f>
        <v/>
      </c>
      <c r="T2760">
        <f>IMAGE("https://mitra.stanford.edu/kundaje/oak/projects/neuro-variants/variant_position/credible/roussos_2024/variant_figures/roussos_2024.childhood.Astrocyte/rs2999058_profile_position.png",4,220,900)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0.07157173915999999</v>
      </c>
      <c r="G2761" t="n">
        <v>0.1488410129395718</v>
      </c>
      <c r="H2761" t="n">
        <v>0.0140951748381871</v>
      </c>
      <c r="I2761" t="n">
        <v>0.3530653424058968</v>
      </c>
      <c r="J2761" t="n">
        <v>0.1816598352835214</v>
      </c>
      <c r="K2761" t="n">
        <v>0.2229925833345255</v>
      </c>
      <c r="L2761" t="b">
        <v>0</v>
      </c>
      <c r="M2761" t="b">
        <v>0</v>
      </c>
      <c r="N2761" t="inlineStr">
        <is>
          <t>alt</t>
        </is>
      </c>
      <c r="O2761" t="n">
        <v>40</v>
      </c>
      <c r="P2761" t="n">
        <v>0.003952</v>
      </c>
      <c r="Q2761" t="n">
        <v>40</v>
      </c>
      <c r="R2761" t="n">
        <v>0.1162</v>
      </c>
      <c r="S2761">
        <f>IMAGE("https://mitra.stanford.edu/kundaje/oak/projects/neuro-variants/variant_position/credible/roussos_2024/variant_figures/roussos_2024.childhood.Astrocyte/rs2955125_count_position.png",4,220,900)</f>
        <v/>
      </c>
      <c r="T2761">
        <f>IMAGE("https://mitra.stanford.edu/kundaje/oak/projects/neuro-variants/variant_position/credible/roussos_2024/variant_figures/roussos_2024.childhood.Astrocyte/rs2955125_profile_position.png",4,220,900)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-0.192460454</v>
      </c>
      <c r="G2762" t="n">
        <v>0.0190151725539665</v>
      </c>
      <c r="H2762" t="n">
        <v>0.0349177508450247</v>
      </c>
      <c r="I2762" t="n">
        <v>0.0199111825518798</v>
      </c>
      <c r="J2762" t="n">
        <v>0.3699113828398708</v>
      </c>
      <c r="K2762" t="n">
        <v>0.099483213345697</v>
      </c>
      <c r="L2762" t="b">
        <v>1</v>
      </c>
      <c r="M2762" t="b">
        <v>0</v>
      </c>
      <c r="N2762" t="inlineStr">
        <is>
          <t>ref</t>
        </is>
      </c>
      <c r="O2762" t="n">
        <v>-50</v>
      </c>
      <c r="P2762" t="n">
        <v>0.002731</v>
      </c>
      <c r="Q2762" t="n">
        <v>-15</v>
      </c>
      <c r="R2762" t="n">
        <v>0.03076</v>
      </c>
      <c r="S2762">
        <f>IMAGE("https://mitra.stanford.edu/kundaje/oak/projects/neuro-variants/variant_position/credible/roussos_2024/variant_figures/roussos_2024.childhood.Astrocyte/rs2955127_count_position.png",4,220,900)</f>
        <v/>
      </c>
      <c r="T2762">
        <f>IMAGE("https://mitra.stanford.edu/kundaje/oak/projects/neuro-variants/variant_position/credible/roussos_2024/variant_figures/roussos_2024.childhood.Astrocyte/rs2955127_profile_position.png",4,220,900)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0.01437662776</v>
      </c>
      <c r="G2763" t="n">
        <v>0.588064057951966</v>
      </c>
      <c r="H2763" t="n">
        <v>0.0111397215101173</v>
      </c>
      <c r="I2763" t="n">
        <v>0.6006887684670357</v>
      </c>
      <c r="J2763" t="n">
        <v>0.0353690091822948</v>
      </c>
      <c r="K2763" t="n">
        <v>0.5191014776372855</v>
      </c>
      <c r="L2763" t="b">
        <v>0</v>
      </c>
      <c r="M2763" t="b">
        <v>0</v>
      </c>
      <c r="N2763" t="inlineStr">
        <is>
          <t>alt</t>
        </is>
      </c>
      <c r="O2763" t="n">
        <v>85</v>
      </c>
      <c r="P2763" t="n">
        <v>0.03552</v>
      </c>
      <c r="Q2763" t="n">
        <v>-100</v>
      </c>
      <c r="R2763" t="n">
        <v>0.08044</v>
      </c>
      <c r="S2763">
        <f>IMAGE("https://mitra.stanford.edu/kundaje/oak/projects/neuro-variants/variant_position/credible/roussos_2024/variant_figures/roussos_2024.childhood.Astrocyte/rs2955128_count_position.png",4,220,900)</f>
        <v/>
      </c>
      <c r="T2763">
        <f>IMAGE("https://mitra.stanford.edu/kundaje/oak/projects/neuro-variants/variant_position/credible/roussos_2024/variant_figures/roussos_2024.childhood.Astrocyte/rs2955128_profile_position.png",4,220,900)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-0.25773028</v>
      </c>
      <c r="G2764" t="n">
        <v>0.009112614192758</v>
      </c>
      <c r="H2764" t="n">
        <v>0.0408407327338816</v>
      </c>
      <c r="I2764" t="n">
        <v>0.0092947096495945</v>
      </c>
      <c r="J2764" t="n">
        <v>0.2757268362681565</v>
      </c>
      <c r="K2764" t="n">
        <v>0.1533562319175616</v>
      </c>
      <c r="L2764" t="b">
        <v>1</v>
      </c>
      <c r="M2764" t="b">
        <v>1</v>
      </c>
      <c r="N2764" t="inlineStr">
        <is>
          <t>ref</t>
        </is>
      </c>
      <c r="O2764" t="n">
        <v>35</v>
      </c>
      <c r="P2764" t="n">
        <v>0.002098</v>
      </c>
      <c r="Q2764" t="n">
        <v>-25</v>
      </c>
      <c r="R2764" t="n">
        <v>0.1194</v>
      </c>
      <c r="S2764">
        <f>IMAGE("https://mitra.stanford.edu/kundaje/oak/projects/neuro-variants/variant_position/credible/roussos_2024/variant_figures/roussos_2024.childhood.Astrocyte/rs4384971_count_position.png",4,220,900)</f>
        <v/>
      </c>
      <c r="T2764">
        <f>IMAGE("https://mitra.stanford.edu/kundaje/oak/projects/neuro-variants/variant_position/credible/roussos_2024/variant_figures/roussos_2024.childhood.Astrocyte/rs4384971_profile_position.png",4,220,900)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-0.0038166050139999</v>
      </c>
      <c r="G2765" t="n">
        <v>0.9003487983910151</v>
      </c>
      <c r="H2765" t="n">
        <v>0.006941070749862</v>
      </c>
      <c r="I2765" t="n">
        <v>0.9552647358826456</v>
      </c>
      <c r="J2765" t="n">
        <v>0.1755070107546578</v>
      </c>
      <c r="K2765" t="n">
        <v>0.226356991147923</v>
      </c>
      <c r="L2765" t="b">
        <v>0</v>
      </c>
      <c r="M2765" t="b">
        <v>0</v>
      </c>
      <c r="N2765" t="inlineStr">
        <is>
          <t>ref</t>
        </is>
      </c>
      <c r="O2765" t="n">
        <v>100</v>
      </c>
      <c r="P2765" t="n">
        <v>0.00419</v>
      </c>
      <c r="Q2765" t="n">
        <v>20</v>
      </c>
      <c r="R2765" t="n">
        <v>0.04877</v>
      </c>
      <c r="S2765">
        <f>IMAGE("https://mitra.stanford.edu/kundaje/oak/projects/neuro-variants/variant_position/credible/roussos_2024/variant_figures/roussos_2024.childhood.Astrocyte/rs6775988_count_position.png",4,220,900)</f>
        <v/>
      </c>
      <c r="T2765">
        <f>IMAGE("https://mitra.stanford.edu/kundaje/oak/projects/neuro-variants/variant_position/credible/roussos_2024/variant_figures/roussos_2024.childhood.Astrocyte/rs6775988_profile_position.png",4,220,900)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0.190223912</v>
      </c>
      <c r="G2766" t="n">
        <v>0.0200137556748305</v>
      </c>
      <c r="H2766" t="n">
        <v>0.023991254277628</v>
      </c>
      <c r="I2766" t="n">
        <v>0.07090864544142959</v>
      </c>
      <c r="J2766" t="n">
        <v>0.3057528642195812</v>
      </c>
      <c r="K2766" t="n">
        <v>0.1293905077998627</v>
      </c>
      <c r="L2766" t="b">
        <v>0</v>
      </c>
      <c r="M2766" t="b">
        <v>0</v>
      </c>
      <c r="N2766" t="inlineStr">
        <is>
          <t>alt</t>
        </is>
      </c>
      <c r="O2766" t="n">
        <v>30</v>
      </c>
      <c r="P2766" t="n">
        <v>0.00299</v>
      </c>
      <c r="Q2766" t="n">
        <v>55</v>
      </c>
      <c r="R2766" t="n">
        <v>0.03027</v>
      </c>
      <c r="S2766">
        <f>IMAGE("https://mitra.stanford.edu/kundaje/oak/projects/neuro-variants/variant_position/credible/roussos_2024/variant_figures/roussos_2024.childhood.Astrocyte/rs4857877_count_position.png",4,220,900)</f>
        <v/>
      </c>
      <c r="T2766">
        <f>IMAGE("https://mitra.stanford.edu/kundaje/oak/projects/neuro-variants/variant_position/credible/roussos_2024/variant_figures/roussos_2024.childhood.Astrocyte/rs4857877_profile_position.png",4,220,900)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-0.01134483134</v>
      </c>
      <c r="G2767" t="n">
        <v>0.6136193261150596</v>
      </c>
      <c r="H2767" t="n">
        <v>0.0286610494997061</v>
      </c>
      <c r="I2767" t="n">
        <v>0.03547003033285</v>
      </c>
      <c r="J2767" t="n">
        <v>0.0241006617663895</v>
      </c>
      <c r="K2767" t="n">
        <v>0.5814274026719169</v>
      </c>
      <c r="L2767" t="b">
        <v>0</v>
      </c>
      <c r="M2767" t="b">
        <v>0</v>
      </c>
      <c r="N2767" t="inlineStr">
        <is>
          <t>ref</t>
        </is>
      </c>
      <c r="O2767" t="n">
        <v>-100</v>
      </c>
      <c r="P2767" t="n">
        <v>0.001282</v>
      </c>
      <c r="Q2767" t="n">
        <v>0</v>
      </c>
      <c r="R2767" t="n">
        <v>0</v>
      </c>
      <c r="S2767">
        <f>IMAGE("https://mitra.stanford.edu/kundaje/oak/projects/neuro-variants/variant_position/credible/roussos_2024/variant_figures/roussos_2024.childhood.Astrocyte/rs3849531_count_position.png",4,220,900)</f>
        <v/>
      </c>
      <c r="T2767">
        <f>IMAGE("https://mitra.stanford.edu/kundaje/oak/projects/neuro-variants/variant_position/credible/roussos_2024/variant_figures/roussos_2024.childhood.Astrocyte/rs3849531_profile_position.png",4,220,900)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-0.002430994662</v>
      </c>
      <c r="G2768" t="n">
        <v>0.8540121492688609</v>
      </c>
      <c r="H2768" t="n">
        <v>0.0346914272101458</v>
      </c>
      <c r="I2768" t="n">
        <v>0.0167460097891656</v>
      </c>
      <c r="J2768" t="n">
        <v>0.0098959645226045</v>
      </c>
      <c r="K2768" t="n">
        <v>0.6912438155829722</v>
      </c>
      <c r="L2768" t="b">
        <v>0</v>
      </c>
      <c r="M2768" t="b">
        <v>0</v>
      </c>
      <c r="N2768" t="inlineStr">
        <is>
          <t>ref</t>
        </is>
      </c>
      <c r="O2768" t="n">
        <v>-100</v>
      </c>
      <c r="P2768" t="n">
        <v>0.006912</v>
      </c>
      <c r="Q2768" t="n">
        <v>100</v>
      </c>
      <c r="R2768" t="n">
        <v>0.0316</v>
      </c>
      <c r="S2768">
        <f>IMAGE("https://mitra.stanford.edu/kundaje/oak/projects/neuro-variants/variant_position/credible/roussos_2024/variant_figures/roussos_2024.childhood.Astrocyte/rs1403770_count_position.png",4,220,900)</f>
        <v/>
      </c>
      <c r="T2768">
        <f>IMAGE("https://mitra.stanford.edu/kundaje/oak/projects/neuro-variants/variant_position/credible/roussos_2024/variant_figures/roussos_2024.childhood.Astrocyte/rs1403770_profile_position.png",4,220,900)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0.1279951364</v>
      </c>
      <c r="G2769" t="n">
        <v>0.0530952206518097</v>
      </c>
      <c r="H2769" t="n">
        <v>0.0240898341933484</v>
      </c>
      <c r="I2769" t="n">
        <v>0.0671756938907008</v>
      </c>
      <c r="J2769" t="n">
        <v>0.9765015685466328</v>
      </c>
      <c r="K2769" t="n">
        <v>3.352178423498774e-05</v>
      </c>
      <c r="L2769" t="b">
        <v>0</v>
      </c>
      <c r="M2769" t="b">
        <v>0</v>
      </c>
      <c r="N2769" t="inlineStr">
        <is>
          <t>alt</t>
        </is>
      </c>
      <c r="O2769" t="n">
        <v>40</v>
      </c>
      <c r="P2769" t="n">
        <v>0.008059999999999999</v>
      </c>
      <c r="Q2769" t="n">
        <v>85</v>
      </c>
      <c r="R2769" t="n">
        <v>0.04785</v>
      </c>
      <c r="S2769">
        <f>IMAGE("https://mitra.stanford.edu/kundaje/oak/projects/neuro-variants/variant_position/credible/roussos_2024/variant_figures/roussos_2024.childhood.Astrocyte/rs184442184_count_position.png",4,220,900)</f>
        <v/>
      </c>
      <c r="T2769">
        <f>IMAGE("https://mitra.stanford.edu/kundaje/oak/projects/neuro-variants/variant_position/credible/roussos_2024/variant_figures/roussos_2024.childhood.Astrocyte/rs184442184_profile_position.png",4,220,900)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-0.123057832</v>
      </c>
      <c r="G2770" t="n">
        <v>0.0477196739996945</v>
      </c>
      <c r="H2770" t="n">
        <v>0.0123152939466756</v>
      </c>
      <c r="I2770" t="n">
        <v>0.4900854859580244</v>
      </c>
      <c r="J2770" t="n">
        <v>0.124285376260371</v>
      </c>
      <c r="K2770" t="n">
        <v>0.2945238423757416</v>
      </c>
      <c r="L2770" t="b">
        <v>0</v>
      </c>
      <c r="M2770" t="b">
        <v>0</v>
      </c>
      <c r="N2770" t="inlineStr">
        <is>
          <t>ref</t>
        </is>
      </c>
      <c r="O2770" t="n">
        <v>40</v>
      </c>
      <c r="P2770" t="n">
        <v>0.01302</v>
      </c>
      <c r="Q2770" t="n">
        <v>65</v>
      </c>
      <c r="R2770" t="n">
        <v>0.258</v>
      </c>
      <c r="S2770">
        <f>IMAGE("https://mitra.stanford.edu/kundaje/oak/projects/neuro-variants/variant_position/credible/roussos_2024/variant_figures/roussos_2024.childhood.Astrocyte/rs9862763_count_position.png",4,220,900)</f>
        <v/>
      </c>
      <c r="T2770">
        <f>IMAGE("https://mitra.stanford.edu/kundaje/oak/projects/neuro-variants/variant_position/credible/roussos_2024/variant_figures/roussos_2024.childhood.Astrocyte/rs9862763_profile_position.png",4,220,900)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0.0152499383999999</v>
      </c>
      <c r="G2771" t="n">
        <v>0.4994622272563625</v>
      </c>
      <c r="H2771" t="n">
        <v>0.0205284265522055</v>
      </c>
      <c r="I2771" t="n">
        <v>0.119559847024027</v>
      </c>
      <c r="J2771" t="n">
        <v>0.236017799760329</v>
      </c>
      <c r="K2771" t="n">
        <v>0.1711108794877197</v>
      </c>
      <c r="L2771" t="b">
        <v>0</v>
      </c>
      <c r="M2771" t="b">
        <v>0</v>
      </c>
      <c r="N2771" t="inlineStr">
        <is>
          <t>alt</t>
        </is>
      </c>
      <c r="O2771" t="n">
        <v>-100</v>
      </c>
      <c r="P2771" t="n">
        <v>0.00625</v>
      </c>
      <c r="Q2771" t="n">
        <v>-100</v>
      </c>
      <c r="R2771" t="n">
        <v>0.2192</v>
      </c>
      <c r="S2771">
        <f>IMAGE("https://mitra.stanford.edu/kundaje/oak/projects/neuro-variants/variant_position/credible/roussos_2024/variant_figures/roussos_2024.childhood.Astrocyte/rs9836374_count_position.png",4,220,900)</f>
        <v/>
      </c>
      <c r="T2771">
        <f>IMAGE("https://mitra.stanford.edu/kundaje/oak/projects/neuro-variants/variant_position/credible/roussos_2024/variant_figures/roussos_2024.childhood.Astrocyte/rs9836374_profile_position.png",4,220,900)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-0.0595129726</v>
      </c>
      <c r="G2772" t="n">
        <v>0.2023468223244138</v>
      </c>
      <c r="H2772" t="n">
        <v>0.0112888899194561</v>
      </c>
      <c r="I2772" t="n">
        <v>0.564230924329176</v>
      </c>
      <c r="J2772" t="n">
        <v>0.0907703815651881</v>
      </c>
      <c r="K2772" t="n">
        <v>0.3419643414583702</v>
      </c>
      <c r="L2772" t="b">
        <v>0</v>
      </c>
      <c r="M2772" t="b">
        <v>0</v>
      </c>
      <c r="N2772" t="inlineStr">
        <is>
          <t>ref</t>
        </is>
      </c>
      <c r="O2772" t="n">
        <v>-100</v>
      </c>
      <c r="P2772" t="n">
        <v>0.002651</v>
      </c>
      <c r="Q2772" t="n">
        <v>15</v>
      </c>
      <c r="R2772" t="n">
        <v>0.0293</v>
      </c>
      <c r="S2772">
        <f>IMAGE("https://mitra.stanford.edu/kundaje/oak/projects/neuro-variants/variant_position/credible/roussos_2024/variant_figures/roussos_2024.childhood.Astrocyte/rs34311570_count_position.png",4,220,900)</f>
        <v/>
      </c>
      <c r="T2772">
        <f>IMAGE("https://mitra.stanford.edu/kundaje/oak/projects/neuro-variants/variant_position/credible/roussos_2024/variant_figures/roussos_2024.childhood.Astrocyte/rs34311570_profile_position.png",4,220,900)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0.0548307856</v>
      </c>
      <c r="G2773" t="n">
        <v>0.2011993371311163</v>
      </c>
      <c r="H2773" t="n">
        <v>0.0180559489260247</v>
      </c>
      <c r="I2773" t="n">
        <v>0.1771395532062648</v>
      </c>
      <c r="J2773" t="n">
        <v>0.0266370512849869</v>
      </c>
      <c r="K2773" t="n">
        <v>0.5582332149981574</v>
      </c>
      <c r="L2773" t="b">
        <v>0</v>
      </c>
      <c r="M2773" t="b">
        <v>0</v>
      </c>
      <c r="N2773" t="inlineStr">
        <is>
          <t>alt</t>
        </is>
      </c>
      <c r="O2773" t="n">
        <v>-100</v>
      </c>
      <c r="P2773" t="n">
        <v>0.0133</v>
      </c>
      <c r="Q2773" t="n">
        <v>-65</v>
      </c>
      <c r="R2773" t="n">
        <v>0.0906</v>
      </c>
      <c r="S2773">
        <f>IMAGE("https://mitra.stanford.edu/kundaje/oak/projects/neuro-variants/variant_position/credible/roussos_2024/variant_figures/roussos_2024.childhood.Astrocyte/rs6809006_count_position.png",4,220,900)</f>
        <v/>
      </c>
      <c r="T2773">
        <f>IMAGE("https://mitra.stanford.edu/kundaje/oak/projects/neuro-variants/variant_position/credible/roussos_2024/variant_figures/roussos_2024.childhood.Astrocyte/rs6809006_profile_position.png",4,220,900)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-0.01257837928</v>
      </c>
      <c r="G2774" t="n">
        <v>0.6810532836737777</v>
      </c>
      <c r="H2774" t="n">
        <v>0.025892712089224</v>
      </c>
      <c r="I2774" t="n">
        <v>0.0527497353522882</v>
      </c>
      <c r="J2774" t="n">
        <v>0.0061406120003358</v>
      </c>
      <c r="K2774" t="n">
        <v>0.7509527109957808</v>
      </c>
      <c r="L2774" t="b">
        <v>0</v>
      </c>
      <c r="M2774" t="b">
        <v>0</v>
      </c>
      <c r="N2774" t="inlineStr">
        <is>
          <t>ref</t>
        </is>
      </c>
      <c r="O2774" t="n">
        <v>-60</v>
      </c>
      <c r="P2774" t="n">
        <v>0.003311</v>
      </c>
      <c r="Q2774" t="n">
        <v>-20</v>
      </c>
      <c r="R2774" t="n">
        <v>0.02505</v>
      </c>
      <c r="S2774">
        <f>IMAGE("https://mitra.stanford.edu/kundaje/oak/projects/neuro-variants/variant_position/credible/roussos_2024/variant_figures/roussos_2024.childhood.Astrocyte/rs4073308_count_position.png",4,220,900)</f>
        <v/>
      </c>
      <c r="T2774">
        <f>IMAGE("https://mitra.stanford.edu/kundaje/oak/projects/neuro-variants/variant_position/credible/roussos_2024/variant_figures/roussos_2024.childhood.Astrocyte/rs4073308_profile_position.png",4,220,900)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-0.0080235919</v>
      </c>
      <c r="G2775" t="n">
        <v>0.7824029755208634</v>
      </c>
      <c r="H2775" t="n">
        <v>0.0234121693432953</v>
      </c>
      <c r="I2775" t="n">
        <v>0.076119025323433</v>
      </c>
      <c r="J2775" t="n">
        <v>0.0009029638280169</v>
      </c>
      <c r="K2775" t="n">
        <v>0.9110776599997108</v>
      </c>
      <c r="L2775" t="b">
        <v>0</v>
      </c>
      <c r="M2775" t="b">
        <v>0</v>
      </c>
      <c r="N2775" t="inlineStr">
        <is>
          <t>ref</t>
        </is>
      </c>
      <c r="O2775" t="n">
        <v>-35</v>
      </c>
      <c r="P2775" t="n">
        <v>0.003662</v>
      </c>
      <c r="Q2775" t="n">
        <v>0</v>
      </c>
      <c r="R2775" t="n">
        <v>0</v>
      </c>
      <c r="S2775">
        <f>IMAGE("https://mitra.stanford.edu/kundaje/oak/projects/neuro-variants/variant_position/credible/roussos_2024/variant_figures/roussos_2024.childhood.Astrocyte/rs9877082_count_position.png",4,220,900)</f>
        <v/>
      </c>
      <c r="T2775">
        <f>IMAGE("https://mitra.stanford.edu/kundaje/oak/projects/neuro-variants/variant_position/credible/roussos_2024/variant_figures/roussos_2024.childhood.Astrocyte/rs9877082_profile_position.png",4,220,900)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0.01379927504</v>
      </c>
      <c r="G2776" t="n">
        <v>0.6117877330996355</v>
      </c>
      <c r="H2776" t="n">
        <v>0.0231802640455795</v>
      </c>
      <c r="I2776" t="n">
        <v>0.0763682813860211</v>
      </c>
      <c r="J2776" t="n">
        <v>0.1114874096463709</v>
      </c>
      <c r="K2776" t="n">
        <v>0.3020136185266077</v>
      </c>
      <c r="L2776" t="b">
        <v>0</v>
      </c>
      <c r="M2776" t="b">
        <v>0</v>
      </c>
      <c r="N2776" t="inlineStr">
        <is>
          <t>alt</t>
        </is>
      </c>
      <c r="O2776" t="n">
        <v>-100</v>
      </c>
      <c r="P2776" t="n">
        <v>0.0335</v>
      </c>
      <c r="Q2776" t="n">
        <v>-100</v>
      </c>
      <c r="R2776" t="n">
        <v>0.1311</v>
      </c>
      <c r="S2776">
        <f>IMAGE("https://mitra.stanford.edu/kundaje/oak/projects/neuro-variants/variant_position/credible/roussos_2024/variant_figures/roussos_2024.childhood.Astrocyte/rs7643661_count_position.png",4,220,900)</f>
        <v/>
      </c>
      <c r="T2776">
        <f>IMAGE("https://mitra.stanford.edu/kundaje/oak/projects/neuro-variants/variant_position/credible/roussos_2024/variant_figures/roussos_2024.childhood.Astrocyte/rs7643661_profile_position.png",4,220,900)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-0.0215288815</v>
      </c>
      <c r="G2777" t="n">
        <v>0.5123223534971618</v>
      </c>
      <c r="H2777" t="n">
        <v>0.0380922844564442</v>
      </c>
      <c r="I2777" t="n">
        <v>0.0119449886801427</v>
      </c>
      <c r="J2777" t="n">
        <v>0.0310892812163678</v>
      </c>
      <c r="K2777" t="n">
        <v>0.5342453195076484</v>
      </c>
      <c r="L2777" t="b">
        <v>1</v>
      </c>
      <c r="M2777" t="b">
        <v>0</v>
      </c>
      <c r="N2777" t="inlineStr">
        <is>
          <t>ref</t>
        </is>
      </c>
      <c r="O2777" t="n">
        <v>-65</v>
      </c>
      <c r="P2777" t="n">
        <v>0.001038</v>
      </c>
      <c r="Q2777" t="n">
        <v>10</v>
      </c>
      <c r="R2777" t="n">
        <v>0.01575</v>
      </c>
      <c r="S2777">
        <f>IMAGE("https://mitra.stanford.edu/kundaje/oak/projects/neuro-variants/variant_position/credible/roussos_2024/variant_figures/roussos_2024.childhood.Astrocyte/rs9837355_count_position.png",4,220,900)</f>
        <v/>
      </c>
      <c r="T2777">
        <f>IMAGE("https://mitra.stanford.edu/kundaje/oak/projects/neuro-variants/variant_position/credible/roussos_2024/variant_figures/roussos_2024.childhood.Astrocyte/rs9837355_profile_position.png",4,220,900)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-0.0697109216</v>
      </c>
      <c r="G2778" t="n">
        <v>0.1389620364350854</v>
      </c>
      <c r="H2778" t="n">
        <v>0.0135970486036625</v>
      </c>
      <c r="I2778" t="n">
        <v>0.3812616734624711</v>
      </c>
      <c r="J2778" t="n">
        <v>0.0145993145718363</v>
      </c>
      <c r="K2778" t="n">
        <v>0.6728087608351383</v>
      </c>
      <c r="L2778" t="b">
        <v>0</v>
      </c>
      <c r="M2778" t="b">
        <v>0</v>
      </c>
      <c r="N2778" t="inlineStr">
        <is>
          <t>ref</t>
        </is>
      </c>
      <c r="O2778" t="n">
        <v>65</v>
      </c>
      <c r="P2778" t="n">
        <v>0.00234</v>
      </c>
      <c r="Q2778" t="n">
        <v>-80</v>
      </c>
      <c r="R2778" t="n">
        <v>0.33</v>
      </c>
      <c r="S2778">
        <f>IMAGE("https://mitra.stanford.edu/kundaje/oak/projects/neuro-variants/variant_position/credible/roussos_2024/variant_figures/roussos_2024.childhood.Astrocyte/rs9880721_count_position.png",4,220,900)</f>
        <v/>
      </c>
      <c r="T2778">
        <f>IMAGE("https://mitra.stanford.edu/kundaje/oak/projects/neuro-variants/variant_position/credible/roussos_2024/variant_figures/roussos_2024.childhood.Astrocyte/rs9880721_profile_position.png",4,220,900)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0.0222273586</v>
      </c>
      <c r="G2779" t="n">
        <v>0.4884954317100434</v>
      </c>
      <c r="H2779" t="n">
        <v>0.0100707438650611</v>
      </c>
      <c r="I2779" t="n">
        <v>0.6903512810813409</v>
      </c>
      <c r="J2779" t="n">
        <v>0.0145252761176371</v>
      </c>
      <c r="K2779" t="n">
        <v>0.6360206136217295</v>
      </c>
      <c r="L2779" t="b">
        <v>0</v>
      </c>
      <c r="M2779" t="b">
        <v>0</v>
      </c>
      <c r="N2779" t="inlineStr">
        <is>
          <t>alt</t>
        </is>
      </c>
      <c r="O2779" t="n">
        <v>-25</v>
      </c>
      <c r="P2779" t="n">
        <v>0.001373</v>
      </c>
      <c r="Q2779" t="n">
        <v>25</v>
      </c>
      <c r="R2779" t="n">
        <v>0.0358</v>
      </c>
      <c r="S2779">
        <f>IMAGE("https://mitra.stanford.edu/kundaje/oak/projects/neuro-variants/variant_position/credible/roussos_2024/variant_figures/roussos_2024.childhood.Astrocyte/rs34864445_count_position.png",4,220,900)</f>
        <v/>
      </c>
      <c r="T2779">
        <f>IMAGE("https://mitra.stanford.edu/kundaje/oak/projects/neuro-variants/variant_position/credible/roussos_2024/variant_figures/roussos_2024.childhood.Astrocyte/rs34864445_profile_position.png",4,220,900)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-0.0352334468</v>
      </c>
      <c r="G2780" t="n">
        <v>0.352313468437145</v>
      </c>
      <c r="H2780" t="n">
        <v>0.009308961345109199</v>
      </c>
      <c r="I2780" t="n">
        <v>0.7844455262003016</v>
      </c>
      <c r="J2780" t="n">
        <v>0.0160258905604786</v>
      </c>
      <c r="K2780" t="n">
        <v>0.6249014662389401</v>
      </c>
      <c r="L2780" t="b">
        <v>0</v>
      </c>
      <c r="M2780" t="b">
        <v>0</v>
      </c>
      <c r="N2780" t="inlineStr">
        <is>
          <t>ref</t>
        </is>
      </c>
      <c r="O2780" t="n">
        <v>-15</v>
      </c>
      <c r="P2780" t="n">
        <v>0.000498</v>
      </c>
      <c r="Q2780" t="n">
        <v>-100</v>
      </c>
      <c r="R2780" t="n">
        <v>0.05554</v>
      </c>
      <c r="S2780">
        <f>IMAGE("https://mitra.stanford.edu/kundaje/oak/projects/neuro-variants/variant_position/credible/roussos_2024/variant_figures/roussos_2024.childhood.Astrocyte/rs9881400_count_position.png",4,220,900)</f>
        <v/>
      </c>
      <c r="T2780">
        <f>IMAGE("https://mitra.stanford.edu/kundaje/oak/projects/neuro-variants/variant_position/credible/roussos_2024/variant_figures/roussos_2024.childhood.Astrocyte/rs9881400_profile_position.png",4,220,900)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0.0116607404</v>
      </c>
      <c r="G2781" t="n">
        <v>0.6779910917082486</v>
      </c>
      <c r="H2781" t="n">
        <v>0.0256091826658663</v>
      </c>
      <c r="I2781" t="n">
        <v>0.0533211425928079</v>
      </c>
      <c r="J2781" t="n">
        <v>0.0514803874424675</v>
      </c>
      <c r="K2781" t="n">
        <v>0.4460895138981089</v>
      </c>
      <c r="L2781" t="b">
        <v>0</v>
      </c>
      <c r="M2781" t="b">
        <v>0</v>
      </c>
      <c r="N2781" t="inlineStr">
        <is>
          <t>alt</t>
        </is>
      </c>
      <c r="O2781" t="n">
        <v>-100</v>
      </c>
      <c r="P2781" t="n">
        <v>0.1777</v>
      </c>
      <c r="Q2781" t="n">
        <v>-90</v>
      </c>
      <c r="R2781" t="n">
        <v>0.292</v>
      </c>
      <c r="S2781">
        <f>IMAGE("https://mitra.stanford.edu/kundaje/oak/projects/neuro-variants/variant_position/credible/roussos_2024/variant_figures/roussos_2024.childhood.Astrocyte/rs6769762_count_position.png",4,220,900)</f>
        <v/>
      </c>
      <c r="T2781">
        <f>IMAGE("https://mitra.stanford.edu/kundaje/oak/projects/neuro-variants/variant_position/credible/roussos_2024/variant_figures/roussos_2024.childhood.Astrocyte/rs6769762_profile_position.png",4,220,900)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-0.283547394</v>
      </c>
      <c r="G2782" t="n">
        <v>0.007999664887565599</v>
      </c>
      <c r="H2782" t="n">
        <v>0.0446152347513037</v>
      </c>
      <c r="I2782" t="n">
        <v>0.0072741791486621</v>
      </c>
      <c r="J2782" t="n">
        <v>0.0109416622777891</v>
      </c>
      <c r="K2782" t="n">
        <v>0.6908340057435072</v>
      </c>
      <c r="L2782" t="b">
        <v>1</v>
      </c>
      <c r="M2782" t="b">
        <v>1</v>
      </c>
      <c r="N2782" t="inlineStr">
        <is>
          <t>ref</t>
        </is>
      </c>
      <c r="O2782" t="n">
        <v>0</v>
      </c>
      <c r="P2782" t="n">
        <v>0</v>
      </c>
      <c r="Q2782" t="n">
        <v>30</v>
      </c>
      <c r="R2782" t="n">
        <v>0.04053</v>
      </c>
      <c r="S2782">
        <f>IMAGE("https://mitra.stanford.edu/kundaje/oak/projects/neuro-variants/variant_position/credible/roussos_2024/variant_figures/roussos_2024.childhood.Astrocyte/rs28631273_count_position.png",4,220,900)</f>
        <v/>
      </c>
      <c r="T2782">
        <f>IMAGE("https://mitra.stanford.edu/kundaje/oak/projects/neuro-variants/variant_position/credible/roussos_2024/variant_figures/roussos_2024.childhood.Astrocyte/rs28631273_profile_position.png",4,220,900)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0.232976876</v>
      </c>
      <c r="G2783" t="n">
        <v>0.0110988462253683</v>
      </c>
      <c r="H2783" t="n">
        <v>0.0480205937257859</v>
      </c>
      <c r="I2783" t="n">
        <v>0.0049672372804891</v>
      </c>
      <c r="J2783" t="n">
        <v>0.04816315938113</v>
      </c>
      <c r="K2783" t="n">
        <v>0.4741834820643625</v>
      </c>
      <c r="L2783" t="b">
        <v>1</v>
      </c>
      <c r="M2783" t="b">
        <v>0</v>
      </c>
      <c r="N2783" t="inlineStr">
        <is>
          <t>alt</t>
        </is>
      </c>
      <c r="O2783" t="n">
        <v>100</v>
      </c>
      <c r="P2783" t="n">
        <v>0.005882</v>
      </c>
      <c r="Q2783" t="n">
        <v>60</v>
      </c>
      <c r="R2783" t="n">
        <v>0.1022</v>
      </c>
      <c r="S2783">
        <f>IMAGE("https://mitra.stanford.edu/kundaje/oak/projects/neuro-variants/variant_position/credible/roussos_2024/variant_figures/roussos_2024.childhood.Astrocyte/rs9826454_count_position.png",4,220,900)</f>
        <v/>
      </c>
      <c r="T2783">
        <f>IMAGE("https://mitra.stanford.edu/kundaje/oak/projects/neuro-variants/variant_position/credible/roussos_2024/variant_figures/roussos_2024.childhood.Astrocyte/rs9826454_profile_position.png",4,220,900)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-0.06611015839999999</v>
      </c>
      <c r="G2784" t="n">
        <v>0.1571505512142612</v>
      </c>
      <c r="H2784" t="n">
        <v>0.0133826529816028</v>
      </c>
      <c r="I2784" t="n">
        <v>0.3984128888822852</v>
      </c>
      <c r="J2784" t="n">
        <v>0.0183287154709837</v>
      </c>
      <c r="K2784" t="n">
        <v>0.6238351559697768</v>
      </c>
      <c r="L2784" t="b">
        <v>0</v>
      </c>
      <c r="M2784" t="b">
        <v>0</v>
      </c>
      <c r="N2784" t="inlineStr">
        <is>
          <t>ref</t>
        </is>
      </c>
      <c r="O2784" t="n">
        <v>-65</v>
      </c>
      <c r="P2784" t="n">
        <v>0.002552</v>
      </c>
      <c r="Q2784" t="n">
        <v>0</v>
      </c>
      <c r="R2784" t="n">
        <v>0</v>
      </c>
      <c r="S2784">
        <f>IMAGE("https://mitra.stanford.edu/kundaje/oak/projects/neuro-variants/variant_position/credible/roussos_2024/variant_figures/roussos_2024.childhood.Astrocyte/rs661739_count_position.png",4,220,900)</f>
        <v/>
      </c>
      <c r="T2784">
        <f>IMAGE("https://mitra.stanford.edu/kundaje/oak/projects/neuro-variants/variant_position/credible/roussos_2024/variant_figures/roussos_2024.childhood.Astrocyte/rs661739_profile_position.png",4,220,900)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-0.0112151365</v>
      </c>
      <c r="G2785" t="n">
        <v>0.7043475090338309</v>
      </c>
      <c r="H2785" t="n">
        <v>0.0188952803392015</v>
      </c>
      <c r="I2785" t="n">
        <v>0.1489914861064773</v>
      </c>
      <c r="J2785" t="n">
        <v>0.007322174135391</v>
      </c>
      <c r="K2785" t="n">
        <v>0.7310247666694552</v>
      </c>
      <c r="L2785" t="b">
        <v>0</v>
      </c>
      <c r="M2785" t="b">
        <v>0</v>
      </c>
      <c r="N2785" t="inlineStr">
        <is>
          <t>ref</t>
        </is>
      </c>
      <c r="O2785" t="n">
        <v>100</v>
      </c>
      <c r="P2785" t="n">
        <v>0.01335</v>
      </c>
      <c r="Q2785" t="n">
        <v>-100</v>
      </c>
      <c r="R2785" t="n">
        <v>0.1063</v>
      </c>
      <c r="S2785">
        <f>IMAGE("https://mitra.stanford.edu/kundaje/oak/projects/neuro-variants/variant_position/credible/roussos_2024/variant_figures/roussos_2024.childhood.Astrocyte/rs1153877_count_position.png",4,220,900)</f>
        <v/>
      </c>
      <c r="T2785">
        <f>IMAGE("https://mitra.stanford.edu/kundaje/oak/projects/neuro-variants/variant_position/credible/roussos_2024/variant_figures/roussos_2024.childhood.Astrocyte/rs1153877_profile_position.png",4,220,900)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0.0011076621599999</v>
      </c>
      <c r="G2786" t="n">
        <v>0.8312347667587515</v>
      </c>
      <c r="H2786" t="n">
        <v>0.0440051692790454</v>
      </c>
      <c r="I2786" t="n">
        <v>0.0066634066646203</v>
      </c>
      <c r="J2786" t="n">
        <v>0.0227282788730888</v>
      </c>
      <c r="K2786" t="n">
        <v>0.5707334692603194</v>
      </c>
      <c r="L2786" t="b">
        <v>1</v>
      </c>
      <c r="M2786" t="b">
        <v>0</v>
      </c>
      <c r="N2786" t="inlineStr">
        <is>
          <t>alt</t>
        </is>
      </c>
      <c r="O2786" t="n">
        <v>25</v>
      </c>
      <c r="P2786" t="n">
        <v>0.001465</v>
      </c>
      <c r="Q2786" t="n">
        <v>-90</v>
      </c>
      <c r="R2786" t="n">
        <v>0.11926</v>
      </c>
      <c r="S2786">
        <f>IMAGE("https://mitra.stanford.edu/kundaje/oak/projects/neuro-variants/variant_position/credible/roussos_2024/variant_figures/roussos_2024.childhood.Astrocyte/rs146516051_count_position.png",4,220,900)</f>
        <v/>
      </c>
      <c r="T2786">
        <f>IMAGE("https://mitra.stanford.edu/kundaje/oak/projects/neuro-variants/variant_position/credible/roussos_2024/variant_figures/roussos_2024.childhood.Astrocyte/rs146516051_profile_position.png",4,220,900)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-0.0108843004</v>
      </c>
      <c r="G2787" t="n">
        <v>0.6509081705671559</v>
      </c>
      <c r="H2787" t="n">
        <v>0.0249767129641228</v>
      </c>
      <c r="I2787" t="n">
        <v>0.0590503897703632</v>
      </c>
      <c r="J2787" t="n">
        <v>0.039517452466549</v>
      </c>
      <c r="K2787" t="n">
        <v>0.4875020923730555</v>
      </c>
      <c r="L2787" t="b">
        <v>0</v>
      </c>
      <c r="M2787" t="b">
        <v>0</v>
      </c>
      <c r="N2787" t="inlineStr">
        <is>
          <t>ref</t>
        </is>
      </c>
      <c r="O2787" t="n">
        <v>-80</v>
      </c>
      <c r="P2787" t="n">
        <v>0.01135</v>
      </c>
      <c r="Q2787" t="n">
        <v>-95</v>
      </c>
      <c r="R2787" t="n">
        <v>0.1157</v>
      </c>
      <c r="S2787">
        <f>IMAGE("https://mitra.stanford.edu/kundaje/oak/projects/neuro-variants/variant_position/credible/roussos_2024/variant_figures/roussos_2024.childhood.Astrocyte/rs480162_count_position.png",4,220,900)</f>
        <v/>
      </c>
      <c r="T2787">
        <f>IMAGE("https://mitra.stanford.edu/kundaje/oak/projects/neuro-variants/variant_position/credible/roussos_2024/variant_figures/roussos_2024.childhood.Astrocyte/rs480162_profile_position.png",4,220,900)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-0.0043886109999999</v>
      </c>
      <c r="G2788" t="n">
        <v>0.5999852315782965</v>
      </c>
      <c r="H2788" t="n">
        <v>0.0215516623023573</v>
      </c>
      <c r="I2788" t="n">
        <v>0.1002208384890502</v>
      </c>
      <c r="J2788" t="n">
        <v>0.0043789547602145</v>
      </c>
      <c r="K2788" t="n">
        <v>0.7856811320163649</v>
      </c>
      <c r="L2788" t="b">
        <v>0</v>
      </c>
      <c r="M2788" t="b">
        <v>0</v>
      </c>
      <c r="N2788" t="inlineStr">
        <is>
          <t>ref</t>
        </is>
      </c>
      <c r="O2788" t="n">
        <v>-100</v>
      </c>
      <c r="P2788" t="n">
        <v>0.00946</v>
      </c>
      <c r="Q2788" t="n">
        <v>65</v>
      </c>
      <c r="R2788" t="n">
        <v>0.0853</v>
      </c>
      <c r="S2788">
        <f>IMAGE("https://mitra.stanford.edu/kundaje/oak/projects/neuro-variants/variant_position/credible/roussos_2024/variant_figures/roussos_2024.childhood.Astrocyte/rs35418151_count_position.png",4,220,900)</f>
        <v/>
      </c>
      <c r="T2788">
        <f>IMAGE("https://mitra.stanford.edu/kundaje/oak/projects/neuro-variants/variant_position/credible/roussos_2024/variant_figures/roussos_2024.childhood.Astrocyte/rs35418151_profile_position.png",4,220,900)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0.082628101</v>
      </c>
      <c r="G2789" t="n">
        <v>0.107420459883731</v>
      </c>
      <c r="H2789" t="n">
        <v>0.0123906019686462</v>
      </c>
      <c r="I2789" t="n">
        <v>0.4736371438517518</v>
      </c>
      <c r="J2789" t="n">
        <v>0.0101066306397074</v>
      </c>
      <c r="K2789" t="n">
        <v>0.6976493894296983</v>
      </c>
      <c r="L2789" t="b">
        <v>0</v>
      </c>
      <c r="M2789" t="b">
        <v>0</v>
      </c>
      <c r="N2789" t="inlineStr">
        <is>
          <t>alt</t>
        </is>
      </c>
      <c r="O2789" t="n">
        <v>20</v>
      </c>
      <c r="P2789" t="n">
        <v>0.001663</v>
      </c>
      <c r="Q2789" t="n">
        <v>-90</v>
      </c>
      <c r="R2789" t="n">
        <v>0.11304</v>
      </c>
      <c r="S2789">
        <f>IMAGE("https://mitra.stanford.edu/kundaje/oak/projects/neuro-variants/variant_position/credible/roussos_2024/variant_figures/roussos_2024.childhood.Astrocyte/rs10804640_count_position.png",4,220,900)</f>
        <v/>
      </c>
      <c r="T2789">
        <f>IMAGE("https://mitra.stanford.edu/kundaje/oak/projects/neuro-variants/variant_position/credible/roussos_2024/variant_figures/roussos_2024.childhood.Astrocyte/rs10804640_profile_position.png",4,220,900)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-0.00245878874</v>
      </c>
      <c r="G2790" t="n">
        <v>0.8497285999484346</v>
      </c>
      <c r="H2790" t="n">
        <v>0.0272555172415232</v>
      </c>
      <c r="I2790" t="n">
        <v>0.0438038044789842</v>
      </c>
      <c r="J2790" t="n">
        <v>0.0056910382939096</v>
      </c>
      <c r="K2790" t="n">
        <v>0.7615104838326887</v>
      </c>
      <c r="L2790" t="b">
        <v>0</v>
      </c>
      <c r="M2790" t="b">
        <v>0</v>
      </c>
      <c r="N2790" t="inlineStr">
        <is>
          <t>ref</t>
        </is>
      </c>
      <c r="O2790" t="n">
        <v>-40</v>
      </c>
      <c r="P2790" t="n">
        <v>0.0083</v>
      </c>
      <c r="Q2790" t="n">
        <v>-40</v>
      </c>
      <c r="R2790" t="n">
        <v>0.04138</v>
      </c>
      <c r="S2790">
        <f>IMAGE("https://mitra.stanford.edu/kundaje/oak/projects/neuro-variants/variant_position/credible/roussos_2024/variant_figures/roussos_2024.childhood.Astrocyte/rs1394094_count_position.png",4,220,900)</f>
        <v/>
      </c>
      <c r="T2790">
        <f>IMAGE("https://mitra.stanford.edu/kundaje/oak/projects/neuro-variants/variant_position/credible/roussos_2024/variant_figures/roussos_2024.childhood.Astrocyte/rs1394094_profile_position.png",4,220,900)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0.0442167274</v>
      </c>
      <c r="G2791" t="n">
        <v>0.2509611152855957</v>
      </c>
      <c r="H2791" t="n">
        <v>0.009017037729652001</v>
      </c>
      <c r="I2791" t="n">
        <v>0.8181365169649373</v>
      </c>
      <c r="J2791" t="n">
        <v>0.0053048170792211</v>
      </c>
      <c r="K2791" t="n">
        <v>0.7679451654958996</v>
      </c>
      <c r="L2791" t="b">
        <v>0</v>
      </c>
      <c r="M2791" t="b">
        <v>0</v>
      </c>
      <c r="N2791" t="inlineStr">
        <is>
          <t>alt</t>
        </is>
      </c>
      <c r="O2791" t="n">
        <v>-65</v>
      </c>
      <c r="P2791" t="n">
        <v>0.1196</v>
      </c>
      <c r="Q2791" t="n">
        <v>-100</v>
      </c>
      <c r="R2791" t="n">
        <v>0.03577</v>
      </c>
      <c r="S2791">
        <f>IMAGE("https://mitra.stanford.edu/kundaje/oak/projects/neuro-variants/variant_position/credible/roussos_2024/variant_figures/roussos_2024.childhood.Astrocyte/rs73226190_count_position.png",4,220,900)</f>
        <v/>
      </c>
      <c r="T2791">
        <f>IMAGE("https://mitra.stanford.edu/kundaje/oak/projects/neuro-variants/variant_position/credible/roussos_2024/variant_figures/roussos_2024.childhood.Astrocyte/rs73226190_profile_position.png",4,220,900)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0.22803492</v>
      </c>
      <c r="G2792" t="n">
        <v>0.0125214922216782</v>
      </c>
      <c r="H2792" t="n">
        <v>0.0266638080077162</v>
      </c>
      <c r="I2792" t="n">
        <v>0.0501686856574884</v>
      </c>
      <c r="J2792" t="n">
        <v>0.0181882713929151</v>
      </c>
      <c r="K2792" t="n">
        <v>0.6585384830567604</v>
      </c>
      <c r="L2792" t="b">
        <v>1</v>
      </c>
      <c r="M2792" t="b">
        <v>0</v>
      </c>
      <c r="N2792" t="inlineStr">
        <is>
          <t>alt</t>
        </is>
      </c>
      <c r="O2792" t="n">
        <v>-45</v>
      </c>
      <c r="P2792" t="n">
        <v>0.010956</v>
      </c>
      <c r="Q2792" t="n">
        <v>-60</v>
      </c>
      <c r="R2792" t="n">
        <v>0.1584</v>
      </c>
      <c r="S2792">
        <f>IMAGE("https://mitra.stanford.edu/kundaje/oak/projects/neuro-variants/variant_position/credible/roussos_2024/variant_figures/roussos_2024.childhood.Astrocyte/rs1070228_count_position.png",4,220,900)</f>
        <v/>
      </c>
      <c r="T2792">
        <f>IMAGE("https://mitra.stanford.edu/kundaje/oak/projects/neuro-variants/variant_position/credible/roussos_2024/variant_figures/roussos_2024.childhood.Astrocyte/rs1070228_profile_position.png",4,220,900)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-0.068066085</v>
      </c>
      <c r="G2793" t="n">
        <v>0.1453767969651564</v>
      </c>
      <c r="H2793" t="n">
        <v>0.0131394849610532</v>
      </c>
      <c r="I2793" t="n">
        <v>0.4285308302086885</v>
      </c>
      <c r="J2793" t="n">
        <v>0.0068924457878225</v>
      </c>
      <c r="K2793" t="n">
        <v>0.7371639890414369</v>
      </c>
      <c r="L2793" t="b">
        <v>0</v>
      </c>
      <c r="M2793" t="b">
        <v>0</v>
      </c>
      <c r="N2793" t="inlineStr">
        <is>
          <t>ref</t>
        </is>
      </c>
      <c r="O2793" t="n">
        <v>-80</v>
      </c>
      <c r="P2793" t="n">
        <v>0.01064</v>
      </c>
      <c r="Q2793" t="n">
        <v>85</v>
      </c>
      <c r="R2793" t="n">
        <v>0.0769</v>
      </c>
      <c r="S2793">
        <f>IMAGE("https://mitra.stanford.edu/kundaje/oak/projects/neuro-variants/variant_position/credible/roussos_2024/variant_figures/roussos_2024.childhood.Astrocyte/rs1280622_count_position.png",4,220,900)</f>
        <v/>
      </c>
      <c r="T2793">
        <f>IMAGE("https://mitra.stanford.edu/kundaje/oak/projects/neuro-variants/variant_position/credible/roussos_2024/variant_figures/roussos_2024.childhood.Astrocyte/rs1280622_profile_position.png",4,220,900)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-0.0857289651999999</v>
      </c>
      <c r="G2794" t="n">
        <v>0.099290452152917</v>
      </c>
      <c r="H2794" t="n">
        <v>0.0178163553301741</v>
      </c>
      <c r="I2794" t="n">
        <v>0.1800116877478312</v>
      </c>
      <c r="J2794" t="n">
        <v>0.0148244830665658</v>
      </c>
      <c r="K2794" t="n">
        <v>0.6482169365699849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0.03894</v>
      </c>
      <c r="Q2794" t="n">
        <v>-100</v>
      </c>
      <c r="R2794" t="n">
        <v>0.2047</v>
      </c>
      <c r="S2794">
        <f>IMAGE("https://mitra.stanford.edu/kundaje/oak/projects/neuro-variants/variant_position/credible/roussos_2024/variant_figures/roussos_2024.childhood.Astrocyte/rs56695781_count_position.png",4,220,900)</f>
        <v/>
      </c>
      <c r="T2794">
        <f>IMAGE("https://mitra.stanford.edu/kundaje/oak/projects/neuro-variants/variant_position/credible/roussos_2024/variant_figures/roussos_2024.childhood.Astrocyte/rs56695781_profile_position.png",4,220,900)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0.024137281</v>
      </c>
      <c r="G2795" t="n">
        <v>0.4607580239581045</v>
      </c>
      <c r="H2795" t="n">
        <v>0.0104905817517965</v>
      </c>
      <c r="I2795" t="n">
        <v>0.6605150721259172</v>
      </c>
      <c r="J2795" t="n">
        <v>0.0512201079282208</v>
      </c>
      <c r="K2795" t="n">
        <v>0.4473970982538029</v>
      </c>
      <c r="L2795" t="b">
        <v>0</v>
      </c>
      <c r="M2795" t="b">
        <v>0</v>
      </c>
      <c r="N2795" t="inlineStr">
        <is>
          <t>alt</t>
        </is>
      </c>
      <c r="O2795" t="n">
        <v>5</v>
      </c>
      <c r="P2795" t="n">
        <v>0.001953</v>
      </c>
      <c r="Q2795" t="n">
        <v>35</v>
      </c>
      <c r="R2795" t="n">
        <v>0.1558</v>
      </c>
      <c r="S2795">
        <f>IMAGE("https://mitra.stanford.edu/kundaje/oak/projects/neuro-variants/variant_position/credible/roussos_2024/variant_figures/roussos_2024.childhood.Astrocyte/rs4420814_count_position.png",4,220,900)</f>
        <v/>
      </c>
      <c r="T2795">
        <f>IMAGE("https://mitra.stanford.edu/kundaje/oak/projects/neuro-variants/variant_position/credible/roussos_2024/variant_figures/roussos_2024.childhood.Astrocyte/rs4420814_profile_position.png",4,220,900)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-0.1793072579999999</v>
      </c>
      <c r="G2796" t="n">
        <v>0.021280734076688</v>
      </c>
      <c r="H2796" t="n">
        <v>0.0402095457328507</v>
      </c>
      <c r="I2796" t="n">
        <v>0.0103334470887543</v>
      </c>
      <c r="J2796" t="n">
        <v>0.8839931915153458</v>
      </c>
      <c r="K2796" t="n">
        <v>0.0027884190054606</v>
      </c>
      <c r="L2796" t="b">
        <v>1</v>
      </c>
      <c r="M2796" t="b">
        <v>0</v>
      </c>
      <c r="N2796" t="inlineStr">
        <is>
          <t>ref</t>
        </is>
      </c>
      <c r="O2796" t="n">
        <v>-45</v>
      </c>
      <c r="P2796" t="n">
        <v>0.01132</v>
      </c>
      <c r="Q2796" t="n">
        <v>-25</v>
      </c>
      <c r="R2796" t="n">
        <v>0.0465</v>
      </c>
      <c r="S2796">
        <f>IMAGE("https://mitra.stanford.edu/kundaje/oak/projects/neuro-variants/variant_position/credible/roussos_2024/variant_figures/roussos_2024.childhood.Astrocyte/rs149346914_count_position.png",4,220,900)</f>
        <v/>
      </c>
      <c r="T2796">
        <f>IMAGE("https://mitra.stanford.edu/kundaje/oak/projects/neuro-variants/variant_position/credible/roussos_2024/variant_figures/roussos_2024.childhood.Astrocyte/rs149346914_profile_position.png",4,220,900)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0.0286386662</v>
      </c>
      <c r="G2797" t="n">
        <v>0.3966606200556029</v>
      </c>
      <c r="H2797" t="n">
        <v>0.0402107200850479</v>
      </c>
      <c r="I2797" t="n">
        <v>0.0093731431752891</v>
      </c>
      <c r="J2797" t="n">
        <v>0.1356888247731141</v>
      </c>
      <c r="K2797" t="n">
        <v>0.2680899231899205</v>
      </c>
      <c r="L2797" t="b">
        <v>1</v>
      </c>
      <c r="M2797" t="b">
        <v>1</v>
      </c>
      <c r="N2797" t="inlineStr">
        <is>
          <t>alt</t>
        </is>
      </c>
      <c r="O2797" t="n">
        <v>55</v>
      </c>
      <c r="P2797" t="n">
        <v>0.003098</v>
      </c>
      <c r="Q2797" t="n">
        <v>-100</v>
      </c>
      <c r="R2797" t="n">
        <v>0.1543</v>
      </c>
      <c r="S2797">
        <f>IMAGE("https://mitra.stanford.edu/kundaje/oak/projects/neuro-variants/variant_position/credible/roussos_2024/variant_figures/roussos_2024.childhood.Astrocyte/rs4683442_count_position.png",4,220,900)</f>
        <v/>
      </c>
      <c r="T2797">
        <f>IMAGE("https://mitra.stanford.edu/kundaje/oak/projects/neuro-variants/variant_position/credible/roussos_2024/variant_figures/roussos_2024.childhood.Astrocyte/rs4683442_profile_position.png",4,220,900)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-0.0934106292</v>
      </c>
      <c r="G2798" t="n">
        <v>0.0866275236459038</v>
      </c>
      <c r="H2798" t="n">
        <v>0.0156667578613654</v>
      </c>
      <c r="I2798" t="n">
        <v>0.2684023478007125</v>
      </c>
      <c r="J2798" t="n">
        <v>0.0289261371008983</v>
      </c>
      <c r="K2798" t="n">
        <v>0.5533999564452996</v>
      </c>
      <c r="L2798" t="b">
        <v>0</v>
      </c>
      <c r="M2798" t="b">
        <v>0</v>
      </c>
      <c r="N2798" t="inlineStr">
        <is>
          <t>ref</t>
        </is>
      </c>
      <c r="O2798" t="n">
        <v>100</v>
      </c>
      <c r="P2798" t="n">
        <v>0.005753</v>
      </c>
      <c r="Q2798" t="n">
        <v>70</v>
      </c>
      <c r="R2798" t="n">
        <v>0.2001</v>
      </c>
      <c r="S2798">
        <f>IMAGE("https://mitra.stanford.edu/kundaje/oak/projects/neuro-variants/variant_position/credible/roussos_2024/variant_figures/roussos_2024.childhood.Astrocyte/rs3886152_count_position.png",4,220,900)</f>
        <v/>
      </c>
      <c r="T2798">
        <f>IMAGE("https://mitra.stanford.edu/kundaje/oak/projects/neuro-variants/variant_position/credible/roussos_2024/variant_figures/roussos_2024.childhood.Astrocyte/rs3886152_profile_position.png",4,220,900)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0.0927806848</v>
      </c>
      <c r="G2799" t="n">
        <v>0.0849707263774631</v>
      </c>
      <c r="H2799" t="n">
        <v>0.0170886741426542</v>
      </c>
      <c r="I2799" t="n">
        <v>0.2144585996323764</v>
      </c>
      <c r="J2799" t="n">
        <v>0.2231221329181073</v>
      </c>
      <c r="K2799" t="n">
        <v>0.1827345692120763</v>
      </c>
      <c r="L2799" t="b">
        <v>0</v>
      </c>
      <c r="M2799" t="b">
        <v>0</v>
      </c>
      <c r="N2799" t="inlineStr">
        <is>
          <t>alt</t>
        </is>
      </c>
      <c r="O2799" t="n">
        <v>-100</v>
      </c>
      <c r="P2799" t="n">
        <v>0.008580000000000001</v>
      </c>
      <c r="Q2799" t="n">
        <v>100</v>
      </c>
      <c r="R2799" t="n">
        <v>0.09784</v>
      </c>
      <c r="S2799">
        <f>IMAGE("https://mitra.stanford.edu/kundaje/oak/projects/neuro-variants/variant_position/credible/roussos_2024/variant_figures/roussos_2024.childhood.Astrocyte/rs4683725_count_position.png",4,220,900)</f>
        <v/>
      </c>
      <c r="T2799">
        <f>IMAGE("https://mitra.stanford.edu/kundaje/oak/projects/neuro-variants/variant_position/credible/roussos_2024/variant_figures/roussos_2024.childhood.Astrocyte/rs4683725_profile_position.png",4,220,900)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0.1179614864</v>
      </c>
      <c r="G2800" t="n">
        <v>0.0540764840686019</v>
      </c>
      <c r="H2800" t="n">
        <v>0.016753954590262</v>
      </c>
      <c r="I2800" t="n">
        <v>0.2193018459612181</v>
      </c>
      <c r="J2800" t="n">
        <v>0.1591750436979536</v>
      </c>
      <c r="K2800" t="n">
        <v>0.2456301260283657</v>
      </c>
      <c r="L2800" t="b">
        <v>0</v>
      </c>
      <c r="M2800" t="b">
        <v>0</v>
      </c>
      <c r="N2800" t="inlineStr">
        <is>
          <t>alt</t>
        </is>
      </c>
      <c r="O2800" t="n">
        <v>-40</v>
      </c>
      <c r="P2800" t="n">
        <v>0.00293</v>
      </c>
      <c r="Q2800" t="n">
        <v>-100</v>
      </c>
      <c r="R2800" t="n">
        <v>0.2104</v>
      </c>
      <c r="S2800">
        <f>IMAGE("https://mitra.stanford.edu/kundaje/oak/projects/neuro-variants/variant_position/credible/roussos_2024/variant_figures/roussos_2024.childhood.Astrocyte/rs9289654_count_position.png",4,220,900)</f>
        <v/>
      </c>
      <c r="T2800">
        <f>IMAGE("https://mitra.stanford.edu/kundaje/oak/projects/neuro-variants/variant_position/credible/roussos_2024/variant_figures/roussos_2024.childhood.Astrocyte/rs9289654_profile_position.png",4,220,900)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0.006106801746</v>
      </c>
      <c r="G2801" t="n">
        <v>0.8212636322367397</v>
      </c>
      <c r="H2801" t="n">
        <v>0.009592400063147001</v>
      </c>
      <c r="I2801" t="n">
        <v>0.7186657328759951</v>
      </c>
      <c r="J2801" t="n">
        <v>0.0085968568004701</v>
      </c>
      <c r="K2801" t="n">
        <v>0.7063657558138821</v>
      </c>
      <c r="L2801" t="b">
        <v>0</v>
      </c>
      <c r="M2801" t="b">
        <v>0</v>
      </c>
      <c r="N2801" t="inlineStr">
        <is>
          <t>alt</t>
        </is>
      </c>
      <c r="O2801" t="n">
        <v>-90</v>
      </c>
      <c r="P2801" t="n">
        <v>0.007317</v>
      </c>
      <c r="Q2801" t="n">
        <v>70</v>
      </c>
      <c r="R2801" t="n">
        <v>0.1565</v>
      </c>
      <c r="S2801">
        <f>IMAGE("https://mitra.stanford.edu/kundaje/oak/projects/neuro-variants/variant_position/credible/roussos_2024/variant_figures/roussos_2024.childhood.Astrocyte/rs750869_count_position.png",4,220,900)</f>
        <v/>
      </c>
      <c r="T2801">
        <f>IMAGE("https://mitra.stanford.edu/kundaje/oak/projects/neuro-variants/variant_position/credible/roussos_2024/variant_figures/roussos_2024.childhood.Astrocyte/rs750869_profile_position.png",4,220,900)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0.0262676676</v>
      </c>
      <c r="G2802" t="n">
        <v>0.2558709972894337</v>
      </c>
      <c r="H2802" t="n">
        <v>0.0123916591785673</v>
      </c>
      <c r="I2802" t="n">
        <v>0.4752606480422488</v>
      </c>
      <c r="J2802" t="n">
        <v>0.0219306481036232</v>
      </c>
      <c r="K2802" t="n">
        <v>0.5783222037960571</v>
      </c>
      <c r="L2802" t="b">
        <v>0</v>
      </c>
      <c r="M2802" t="b">
        <v>0</v>
      </c>
      <c r="N2802" t="inlineStr">
        <is>
          <t>alt</t>
        </is>
      </c>
      <c r="O2802" t="n">
        <v>100</v>
      </c>
      <c r="P2802" t="n">
        <v>0.02386</v>
      </c>
      <c r="Q2802" t="n">
        <v>85</v>
      </c>
      <c r="R2802" t="n">
        <v>0.02536</v>
      </c>
      <c r="S2802">
        <f>IMAGE("https://mitra.stanford.edu/kundaje/oak/projects/neuro-variants/variant_position/credible/roussos_2024/variant_figures/roussos_2024.childhood.Astrocyte/rs10804685_count_position.png",4,220,900)</f>
        <v/>
      </c>
      <c r="T2802">
        <f>IMAGE("https://mitra.stanford.edu/kundaje/oak/projects/neuro-variants/variant_position/credible/roussos_2024/variant_figures/roussos_2024.childhood.Astrocyte/rs10804685_profile_position.png",4,220,900)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-0.0491473682</v>
      </c>
      <c r="G2803" t="n">
        <v>0.23585226416771</v>
      </c>
      <c r="H2803" t="n">
        <v>0.0099966044482836</v>
      </c>
      <c r="I2803" t="n">
        <v>0.6952977773699913</v>
      </c>
      <c r="J2803" t="n">
        <v>0.0091219955271614</v>
      </c>
      <c r="K2803" t="n">
        <v>0.7181463746718326</v>
      </c>
      <c r="L2803" t="b">
        <v>0</v>
      </c>
      <c r="M2803" t="b">
        <v>0</v>
      </c>
      <c r="N2803" t="inlineStr">
        <is>
          <t>ref</t>
        </is>
      </c>
      <c r="O2803" t="n">
        <v>-30</v>
      </c>
      <c r="P2803" t="n">
        <v>0.002266</v>
      </c>
      <c r="Q2803" t="n">
        <v>-100</v>
      </c>
      <c r="R2803" t="n">
        <v>0.1006</v>
      </c>
      <c r="S2803">
        <f>IMAGE("https://mitra.stanford.edu/kundaje/oak/projects/neuro-variants/variant_position/credible/roussos_2024/variant_figures/roussos_2024.childhood.Astrocyte/rs8179934_count_position.png",4,220,900)</f>
        <v/>
      </c>
      <c r="T2803">
        <f>IMAGE("https://mitra.stanford.edu/kundaje/oak/projects/neuro-variants/variant_position/credible/roussos_2024/variant_figures/roussos_2024.childhood.Astrocyte/rs8179934_profile_position.png",4,220,900)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-0.0268601594</v>
      </c>
      <c r="G2804" t="n">
        <v>0.4488128365887632</v>
      </c>
      <c r="H2804" t="n">
        <v>0.0250275449106325</v>
      </c>
      <c r="I2804" t="n">
        <v>0.0598123053851014</v>
      </c>
      <c r="J2804" t="n">
        <v>0.0024165540824192</v>
      </c>
      <c r="K2804" t="n">
        <v>0.8460888113497098</v>
      </c>
      <c r="L2804" t="b">
        <v>0</v>
      </c>
      <c r="M2804" t="b">
        <v>0</v>
      </c>
      <c r="N2804" t="inlineStr">
        <is>
          <t>ref</t>
        </is>
      </c>
      <c r="O2804" t="n">
        <v>60</v>
      </c>
      <c r="P2804" t="n">
        <v>0.05585</v>
      </c>
      <c r="Q2804" t="n">
        <v>35</v>
      </c>
      <c r="R2804" t="n">
        <v>0.10925</v>
      </c>
      <c r="S2804">
        <f>IMAGE("https://mitra.stanford.edu/kundaje/oak/projects/neuro-variants/variant_position/credible/roussos_2024/variant_figures/roussos_2024.childhood.Astrocyte/rs9832859_count_position.png",4,220,900)</f>
        <v/>
      </c>
      <c r="T2804">
        <f>IMAGE("https://mitra.stanford.edu/kundaje/oak/projects/neuro-variants/variant_position/credible/roussos_2024/variant_figures/roussos_2024.childhood.Astrocyte/rs9832859_profile_position.png",4,220,900)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-0.277145552</v>
      </c>
      <c r="G2805" t="n">
        <v>0.0070509376858533</v>
      </c>
      <c r="H2805" t="n">
        <v>0.0315529787826661</v>
      </c>
      <c r="I2805" t="n">
        <v>0.0245668816538378</v>
      </c>
      <c r="J2805" t="n">
        <v>0.1196377458725469</v>
      </c>
      <c r="K2805" t="n">
        <v>0.2957137312009389</v>
      </c>
      <c r="L2805" t="b">
        <v>1</v>
      </c>
      <c r="M2805" t="b">
        <v>1</v>
      </c>
      <c r="N2805" t="inlineStr">
        <is>
          <t>ref</t>
        </is>
      </c>
      <c r="O2805" t="n">
        <v>10</v>
      </c>
      <c r="P2805" t="n">
        <v>0.00354</v>
      </c>
      <c r="Q2805" t="n">
        <v>100</v>
      </c>
      <c r="R2805" t="n">
        <v>0.08840000000000001</v>
      </c>
      <c r="S2805">
        <f>IMAGE("https://mitra.stanford.edu/kundaje/oak/projects/neuro-variants/variant_position/credible/roussos_2024/variant_figures/roussos_2024.childhood.Astrocyte/rs514816_count_position.png",4,220,900)</f>
        <v/>
      </c>
      <c r="T2805">
        <f>IMAGE("https://mitra.stanford.edu/kundaje/oak/projects/neuro-variants/variant_position/credible/roussos_2024/variant_figures/roussos_2024.childhood.Astrocyte/rs514816_profile_position.png",4,220,900)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-0.08187156199999999</v>
      </c>
      <c r="G2806" t="n">
        <v>0.1032037621527371</v>
      </c>
      <c r="H2806" t="n">
        <v>0.0120582076673644</v>
      </c>
      <c r="I2806" t="n">
        <v>0.5103254077863794</v>
      </c>
      <c r="J2806" t="n">
        <v>0.0036378069351895</v>
      </c>
      <c r="K2806" t="n">
        <v>0.8156301940901036</v>
      </c>
      <c r="L2806" t="b">
        <v>0</v>
      </c>
      <c r="M2806" t="b">
        <v>0</v>
      </c>
      <c r="N2806" t="inlineStr">
        <is>
          <t>ref</t>
        </is>
      </c>
      <c r="O2806" t="n">
        <v>-50</v>
      </c>
      <c r="P2806" t="n">
        <v>0.1217</v>
      </c>
      <c r="Q2806" t="n">
        <v>-55</v>
      </c>
      <c r="R2806" t="n">
        <v>0.178</v>
      </c>
      <c r="S2806">
        <f>IMAGE("https://mitra.stanford.edu/kundaje/oak/projects/neuro-variants/variant_position/credible/roussos_2024/variant_figures/roussos_2024.childhood.Astrocyte/rs308693_count_position.png",4,220,900)</f>
        <v/>
      </c>
      <c r="T2806">
        <f>IMAGE("https://mitra.stanford.edu/kundaje/oak/projects/neuro-variants/variant_position/credible/roussos_2024/variant_figures/roussos_2024.childhood.Astrocyte/rs308693_profile_position.png",4,220,900)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0.04946390208</v>
      </c>
      <c r="G2807" t="n">
        <v>0.2408796742230474</v>
      </c>
      <c r="H2807" t="n">
        <v>0.0221404519662435</v>
      </c>
      <c r="I2807" t="n">
        <v>0.09460162294604139</v>
      </c>
      <c r="J2807" t="n">
        <v>0.0352636761237434</v>
      </c>
      <c r="K2807" t="n">
        <v>0.5195898930267339</v>
      </c>
      <c r="L2807" t="b">
        <v>0</v>
      </c>
      <c r="M2807" t="b">
        <v>0</v>
      </c>
      <c r="N2807" t="inlineStr">
        <is>
          <t>alt</t>
        </is>
      </c>
      <c r="O2807" t="n">
        <v>-100</v>
      </c>
      <c r="P2807" t="n">
        <v>0.000782</v>
      </c>
      <c r="Q2807" t="n">
        <v>10</v>
      </c>
      <c r="R2807" t="n">
        <v>0.01355</v>
      </c>
      <c r="S2807">
        <f>IMAGE("https://mitra.stanford.edu/kundaje/oak/projects/neuro-variants/variant_position/credible/roussos_2024/variant_figures/roussos_2024.childhood.Astrocyte/rs308698_count_position.png",4,220,900)</f>
        <v/>
      </c>
      <c r="T2807">
        <f>IMAGE("https://mitra.stanford.edu/kundaje/oak/projects/neuro-variants/variant_position/credible/roussos_2024/variant_figures/roussos_2024.childhood.Astrocyte/rs308698_profile_position.png",4,220,900)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0.0375148758</v>
      </c>
      <c r="G2808" t="n">
        <v>0.2523937069226617</v>
      </c>
      <c r="H2808" t="n">
        <v>0.015181204763796</v>
      </c>
      <c r="I2808" t="n">
        <v>0.2821652326053855</v>
      </c>
      <c r="J2808" t="n">
        <v>0.0338439696823978</v>
      </c>
      <c r="K2808" t="n">
        <v>0.5331197747974152</v>
      </c>
      <c r="L2808" t="b">
        <v>0</v>
      </c>
      <c r="M2808" t="b">
        <v>0</v>
      </c>
      <c r="N2808" t="inlineStr">
        <is>
          <t>alt</t>
        </is>
      </c>
      <c r="O2808" t="n">
        <v>-30</v>
      </c>
      <c r="P2808" t="n">
        <v>0.007137</v>
      </c>
      <c r="Q2808" t="n">
        <v>-10</v>
      </c>
      <c r="R2808" t="n">
        <v>0.005127</v>
      </c>
      <c r="S2808">
        <f>IMAGE("https://mitra.stanford.edu/kundaje/oak/projects/neuro-variants/variant_position/credible/roussos_2024/variant_figures/roussos_2024.childhood.Astrocyte/rs308699_count_position.png",4,220,900)</f>
        <v/>
      </c>
      <c r="T2808">
        <f>IMAGE("https://mitra.stanford.edu/kundaje/oak/projects/neuro-variants/variant_position/credible/roussos_2024/variant_figures/roussos_2024.childhood.Astrocyte/rs308699_profile_position.png",4,220,900)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-0.08657970199999999</v>
      </c>
      <c r="G2809" t="n">
        <v>0.0908544890134504</v>
      </c>
      <c r="H2809" t="n">
        <v>0.0213733447147494</v>
      </c>
      <c r="I2809" t="n">
        <v>0.1028091711947507</v>
      </c>
      <c r="J2809" t="n">
        <v>0.0015815224443375</v>
      </c>
      <c r="K2809" t="n">
        <v>0.8764576754898291</v>
      </c>
      <c r="L2809" t="b">
        <v>0</v>
      </c>
      <c r="M2809" t="b">
        <v>0</v>
      </c>
      <c r="N2809" t="inlineStr">
        <is>
          <t>ref</t>
        </is>
      </c>
      <c r="O2809" t="n">
        <v>-20</v>
      </c>
      <c r="P2809" t="n">
        <v>0.002197</v>
      </c>
      <c r="Q2809" t="n">
        <v>10</v>
      </c>
      <c r="R2809" t="n">
        <v>0.00903</v>
      </c>
      <c r="S2809">
        <f>IMAGE("https://mitra.stanford.edu/kundaje/oak/projects/neuro-variants/variant_position/credible/roussos_2024/variant_figures/roussos_2024.childhood.Astrocyte/rs9865618_count_position.png",4,220,900)</f>
        <v/>
      </c>
      <c r="T2809">
        <f>IMAGE("https://mitra.stanford.edu/kundaje/oak/projects/neuro-variants/variant_position/credible/roussos_2024/variant_figures/roussos_2024.childhood.Astrocyte/rs9865618_profile_position.png",4,220,900)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0.0026482799</v>
      </c>
      <c r="G2810" t="n">
        <v>0.7105944022930143</v>
      </c>
      <c r="H2810" t="n">
        <v>0.0138656180669247</v>
      </c>
      <c r="I2810" t="n">
        <v>0.3667095118768325</v>
      </c>
      <c r="J2810" t="n">
        <v>0.0048376878630364</v>
      </c>
      <c r="K2810" t="n">
        <v>0.7921156691164277</v>
      </c>
      <c r="L2810" t="b">
        <v>0</v>
      </c>
      <c r="M2810" t="b">
        <v>0</v>
      </c>
      <c r="N2810" t="inlineStr">
        <is>
          <t>alt</t>
        </is>
      </c>
      <c r="O2810" t="n">
        <v>-95</v>
      </c>
      <c r="P2810" t="n">
        <v>0.02728</v>
      </c>
      <c r="Q2810" t="n">
        <v>55</v>
      </c>
      <c r="R2810" t="n">
        <v>0.0572</v>
      </c>
      <c r="S2810">
        <f>IMAGE("https://mitra.stanford.edu/kundaje/oak/projects/neuro-variants/variant_position/credible/roussos_2024/variant_figures/roussos_2024.childhood.Astrocyte/rs4586823_count_position.png",4,220,900)</f>
        <v/>
      </c>
      <c r="T2810">
        <f>IMAGE("https://mitra.stanford.edu/kundaje/oak/projects/neuro-variants/variant_position/credible/roussos_2024/variant_figures/roussos_2024.childhood.Astrocyte/rs4586823_profile_position.png",4,220,900)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-0.103442645</v>
      </c>
      <c r="G2811" t="n">
        <v>0.07421440254156469</v>
      </c>
      <c r="H2811" t="n">
        <v>0.0119243797659086</v>
      </c>
      <c r="I2811" t="n">
        <v>0.5147554009318415</v>
      </c>
      <c r="J2811" t="n">
        <v>0.0137574133864577</v>
      </c>
      <c r="K2811" t="n">
        <v>0.6454612533474675</v>
      </c>
      <c r="L2811" t="b">
        <v>0</v>
      </c>
      <c r="M2811" t="b">
        <v>0</v>
      </c>
      <c r="N2811" t="inlineStr">
        <is>
          <t>ref</t>
        </is>
      </c>
      <c r="O2811" t="n">
        <v>15</v>
      </c>
      <c r="P2811" t="n">
        <v>0.001167</v>
      </c>
      <c r="Q2811" t="n">
        <v>60</v>
      </c>
      <c r="R2811" t="n">
        <v>0.0349</v>
      </c>
      <c r="S2811">
        <f>IMAGE("https://mitra.stanford.edu/kundaje/oak/projects/neuro-variants/variant_position/credible/roussos_2024/variant_figures/roussos_2024.childhood.Astrocyte/rs7615033_count_position.png",4,220,900)</f>
        <v/>
      </c>
      <c r="T2811">
        <f>IMAGE("https://mitra.stanford.edu/kundaje/oak/projects/neuro-variants/variant_position/credible/roussos_2024/variant_figures/roussos_2024.childhood.Astrocyte/rs7615033_profile_position.png",4,220,900)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-0.0124189673</v>
      </c>
      <c r="G2812" t="n">
        <v>0.5401508942255002</v>
      </c>
      <c r="H2812" t="n">
        <v>0.0105146245913505</v>
      </c>
      <c r="I2812" t="n">
        <v>0.6487107198338371</v>
      </c>
      <c r="J2812" t="n">
        <v>0.0139413645974063</v>
      </c>
      <c r="K2812" t="n">
        <v>0.6429112734727369</v>
      </c>
      <c r="L2812" t="b">
        <v>0</v>
      </c>
      <c r="M2812" t="b">
        <v>0</v>
      </c>
      <c r="N2812" t="inlineStr">
        <is>
          <t>ref</t>
        </is>
      </c>
      <c r="O2812" t="n">
        <v>15</v>
      </c>
      <c r="P2812" t="n">
        <v>0.0007553</v>
      </c>
      <c r="Q2812" t="n">
        <v>60</v>
      </c>
      <c r="R2812" t="n">
        <v>0.044</v>
      </c>
      <c r="S2812">
        <f>IMAGE("https://mitra.stanford.edu/kundaje/oak/projects/neuro-variants/variant_position/credible/roussos_2024/variant_figures/roussos_2024.childhood.Astrocyte/rs7626556_count_position.png",4,220,900)</f>
        <v/>
      </c>
      <c r="T2812">
        <f>IMAGE("https://mitra.stanford.edu/kundaje/oak/projects/neuro-variants/variant_position/credible/roussos_2024/variant_figures/roussos_2024.childhood.Astrocyte/rs7626556_profile_position.png",4,220,900)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0.01476340885</v>
      </c>
      <c r="G2813" t="n">
        <v>0.6272296459258639</v>
      </c>
      <c r="H2813" t="n">
        <v>0.0170672681810458</v>
      </c>
      <c r="I2813" t="n">
        <v>0.2039247282298386</v>
      </c>
      <c r="J2813" t="n">
        <v>0.0337302405104836</v>
      </c>
      <c r="K2813" t="n">
        <v>0.5287763960187243</v>
      </c>
      <c r="L2813" t="b">
        <v>0</v>
      </c>
      <c r="M2813" t="b">
        <v>0</v>
      </c>
      <c r="N2813" t="inlineStr">
        <is>
          <t>alt</t>
        </is>
      </c>
      <c r="O2813" t="n">
        <v>-90</v>
      </c>
      <c r="P2813" t="n">
        <v>0.02783</v>
      </c>
      <c r="Q2813" t="n">
        <v>-90</v>
      </c>
      <c r="R2813" t="n">
        <v>0.501</v>
      </c>
      <c r="S2813">
        <f>IMAGE("https://mitra.stanford.edu/kundaje/oak/projects/neuro-variants/variant_position/credible/roussos_2024/variant_figures/roussos_2024.childhood.Astrocyte/rs1912454_count_position.png",4,220,900)</f>
        <v/>
      </c>
      <c r="T2813">
        <f>IMAGE("https://mitra.stanford.edu/kundaje/oak/projects/neuro-variants/variant_position/credible/roussos_2024/variant_figures/roussos_2024.childhood.Astrocyte/rs1912454_profile_position.png",4,220,900)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-0.00288387638</v>
      </c>
      <c r="G2814" t="n">
        <v>0.8418925648523139</v>
      </c>
      <c r="H2814" t="n">
        <v>0.0163229730366589</v>
      </c>
      <c r="I2814" t="n">
        <v>0.2335887625730655</v>
      </c>
      <c r="J2814" t="n">
        <v>0.0080335539221298</v>
      </c>
      <c r="K2814" t="n">
        <v>0.7204208543314599</v>
      </c>
      <c r="L2814" t="b">
        <v>0</v>
      </c>
      <c r="M2814" t="b">
        <v>0</v>
      </c>
      <c r="N2814" t="inlineStr">
        <is>
          <t>ref</t>
        </is>
      </c>
      <c r="O2814" t="n">
        <v>-85</v>
      </c>
      <c r="P2814" t="n">
        <v>0.005592</v>
      </c>
      <c r="Q2814" t="n">
        <v>95</v>
      </c>
      <c r="R2814" t="n">
        <v>0.0479</v>
      </c>
      <c r="S2814">
        <f>IMAGE("https://mitra.stanford.edu/kundaje/oak/projects/neuro-variants/variant_position/credible/roussos_2024/variant_figures/roussos_2024.childhood.Astrocyte/rs28532919_count_position.png",4,220,900)</f>
        <v/>
      </c>
      <c r="T2814">
        <f>IMAGE("https://mitra.stanford.edu/kundaje/oak/projects/neuro-variants/variant_position/credible/roussos_2024/variant_figures/roussos_2024.childhood.Astrocyte/rs28532919_profile_position.png",4,220,900)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0.158574316</v>
      </c>
      <c r="G2815" t="n">
        <v>0.0268285089113816</v>
      </c>
      <c r="H2815" t="n">
        <v>0.0238493342014241</v>
      </c>
      <c r="I2815" t="n">
        <v>0.07427019688740739</v>
      </c>
      <c r="J2815" t="n">
        <v>0.0670452550510254</v>
      </c>
      <c r="K2815" t="n">
        <v>0.3952696046099985</v>
      </c>
      <c r="L2815" t="b">
        <v>0</v>
      </c>
      <c r="M2815" t="b">
        <v>0</v>
      </c>
      <c r="N2815" t="inlineStr">
        <is>
          <t>alt</t>
        </is>
      </c>
      <c r="O2815" t="n">
        <v>-80</v>
      </c>
      <c r="P2815" t="n">
        <v>0.03062</v>
      </c>
      <c r="Q2815" t="n">
        <v>-30</v>
      </c>
      <c r="R2815" t="n">
        <v>0.09594999999999999</v>
      </c>
      <c r="S2815">
        <f>IMAGE("https://mitra.stanford.edu/kundaje/oak/projects/neuro-variants/variant_position/credible/roussos_2024/variant_figures/roussos_2024.childhood.Astrocyte/rs62280491_count_position.png",4,220,900)</f>
        <v/>
      </c>
      <c r="T2815">
        <f>IMAGE("https://mitra.stanford.edu/kundaje/oak/projects/neuro-variants/variant_position/credible/roussos_2024/variant_figures/roussos_2024.childhood.Astrocyte/rs62280491_profile_position.png",4,220,900)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-0.277265386</v>
      </c>
      <c r="G2816" t="n">
        <v>0.0102398813803772</v>
      </c>
      <c r="H2816" t="n">
        <v>0.0273554153051411</v>
      </c>
      <c r="I2816" t="n">
        <v>0.0489633362376338</v>
      </c>
      <c r="J2816" t="n">
        <v>0.0249013456679871</v>
      </c>
      <c r="K2816" t="n">
        <v>0.5909980507366014</v>
      </c>
      <c r="L2816" t="b">
        <v>1</v>
      </c>
      <c r="M2816" t="b">
        <v>0</v>
      </c>
      <c r="N2816" t="inlineStr">
        <is>
          <t>ref</t>
        </is>
      </c>
      <c r="O2816" t="n">
        <v>95</v>
      </c>
      <c r="P2816" t="n">
        <v>0.009050000000000001</v>
      </c>
      <c r="Q2816" t="n">
        <v>-40</v>
      </c>
      <c r="R2816" t="n">
        <v>0.012695</v>
      </c>
      <c r="S2816">
        <f>IMAGE("https://mitra.stanford.edu/kundaje/oak/projects/neuro-variants/variant_position/credible/roussos_2024/variant_figures/roussos_2024.childhood.Astrocyte/rs56315604_count_position.png",4,220,900)</f>
        <v/>
      </c>
      <c r="T2816">
        <f>IMAGE("https://mitra.stanford.edu/kundaje/oak/projects/neuro-variants/variant_position/credible/roussos_2024/variant_figures/roussos_2024.childhood.Astrocyte/rs56315604_profile_position.png",4,220,900)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-0.0892882666</v>
      </c>
      <c r="G2817" t="n">
        <v>0.08655014668665401</v>
      </c>
      <c r="H2817" t="n">
        <v>0.0199590788578722</v>
      </c>
      <c r="I2817" t="n">
        <v>0.1304792641220317</v>
      </c>
      <c r="J2817" t="n">
        <v>0.0452596307236685</v>
      </c>
      <c r="K2817" t="n">
        <v>0.473620400625435</v>
      </c>
      <c r="L2817" t="b">
        <v>0</v>
      </c>
      <c r="M2817" t="b">
        <v>0</v>
      </c>
      <c r="N2817" t="inlineStr">
        <is>
          <t>ref</t>
        </is>
      </c>
      <c r="O2817" t="n">
        <v>65</v>
      </c>
      <c r="P2817" t="n">
        <v>0.005722</v>
      </c>
      <c r="Q2817" t="n">
        <v>65</v>
      </c>
      <c r="R2817" t="n">
        <v>0.1797</v>
      </c>
      <c r="S2817">
        <f>IMAGE("https://mitra.stanford.edu/kundaje/oak/projects/neuro-variants/variant_position/credible/roussos_2024/variant_figures/roussos_2024.childhood.Astrocyte/rs1397242_count_position.png",4,220,900)</f>
        <v/>
      </c>
      <c r="T2817">
        <f>IMAGE("https://mitra.stanford.edu/kundaje/oak/projects/neuro-variants/variant_position/credible/roussos_2024/variant_figures/roussos_2024.childhood.Astrocyte/rs1397242_profile_position.png",4,220,900)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0.00993297466</v>
      </c>
      <c r="G2818" t="n">
        <v>0.6381250538174594</v>
      </c>
      <c r="H2818" t="n">
        <v>0.0268980839864464</v>
      </c>
      <c r="I2818" t="n">
        <v>0.0446335024704377</v>
      </c>
      <c r="J2818" t="n">
        <v>0.015226733224947</v>
      </c>
      <c r="K2818" t="n">
        <v>0.6361107026733352</v>
      </c>
      <c r="L2818" t="b">
        <v>0</v>
      </c>
      <c r="M2818" t="b">
        <v>0</v>
      </c>
      <c r="N2818" t="inlineStr">
        <is>
          <t>alt</t>
        </is>
      </c>
      <c r="O2818" t="n">
        <v>100</v>
      </c>
      <c r="P2818" t="n">
        <v>0.01254</v>
      </c>
      <c r="Q2818" t="n">
        <v>80</v>
      </c>
      <c r="R2818" t="n">
        <v>0.10474</v>
      </c>
      <c r="S2818">
        <f>IMAGE("https://mitra.stanford.edu/kundaje/oak/projects/neuro-variants/variant_position/credible/roussos_2024/variant_figures/roussos_2024.childhood.Astrocyte/rs13100661_count_position.png",4,220,900)</f>
        <v/>
      </c>
      <c r="T2818">
        <f>IMAGE("https://mitra.stanford.edu/kundaje/oak/projects/neuro-variants/variant_position/credible/roussos_2024/variant_figures/roussos_2024.childhood.Astrocyte/rs13100661_profile_position.png",4,220,900)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-0.0150253971999999</v>
      </c>
      <c r="G2819" t="n">
        <v>0.3653979905137148</v>
      </c>
      <c r="H2819" t="n">
        <v>0.013101295251276</v>
      </c>
      <c r="I2819" t="n">
        <v>0.4275666824530562</v>
      </c>
      <c r="J2819" t="n">
        <v>0.0429995496630105</v>
      </c>
      <c r="K2819" t="n">
        <v>0.475006403618616</v>
      </c>
      <c r="L2819" t="b">
        <v>0</v>
      </c>
      <c r="M2819" t="b">
        <v>0</v>
      </c>
      <c r="N2819" t="inlineStr">
        <is>
          <t>ref</t>
        </is>
      </c>
      <c r="O2819" t="n">
        <v>30</v>
      </c>
      <c r="P2819" t="n">
        <v>0.0002174</v>
      </c>
      <c r="Q2819" t="n">
        <v>-20</v>
      </c>
      <c r="R2819" t="n">
        <v>0.0698</v>
      </c>
      <c r="S2819">
        <f>IMAGE("https://mitra.stanford.edu/kundaje/oak/projects/neuro-variants/variant_position/credible/roussos_2024/variant_figures/roussos_2024.childhood.Astrocyte/rs6791872_count_position.png",4,220,900)</f>
        <v/>
      </c>
      <c r="T2819">
        <f>IMAGE("https://mitra.stanford.edu/kundaje/oak/projects/neuro-variants/variant_position/credible/roussos_2024/variant_figures/roussos_2024.childhood.Astrocyte/rs6791872_profile_position.png",4,220,900)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0.026081478012</v>
      </c>
      <c r="G2820" t="n">
        <v>0.434229598996756</v>
      </c>
      <c r="H2820" t="n">
        <v>0.008839085139400101</v>
      </c>
      <c r="I2820" t="n">
        <v>0.8359789182483126</v>
      </c>
      <c r="J2820" t="n">
        <v>0.0394212788043934</v>
      </c>
      <c r="K2820" t="n">
        <v>0.4915858644231919</v>
      </c>
      <c r="L2820" t="b">
        <v>0</v>
      </c>
      <c r="M2820" t="b">
        <v>0</v>
      </c>
      <c r="N2820" t="inlineStr">
        <is>
          <t>alt</t>
        </is>
      </c>
      <c r="O2820" t="n">
        <v>55</v>
      </c>
      <c r="P2820" t="n">
        <v>0.003372</v>
      </c>
      <c r="Q2820" t="n">
        <v>-95</v>
      </c>
      <c r="R2820" t="n">
        <v>0.1505</v>
      </c>
      <c r="S2820">
        <f>IMAGE("https://mitra.stanford.edu/kundaje/oak/projects/neuro-variants/variant_position/credible/roussos_2024/variant_figures/roussos_2024.childhood.Astrocyte/rs6779000_count_position.png",4,220,900)</f>
        <v/>
      </c>
      <c r="T2820">
        <f>IMAGE("https://mitra.stanford.edu/kundaje/oak/projects/neuro-variants/variant_position/credible/roussos_2024/variant_figures/roussos_2024.childhood.Astrocyte/rs6779000_profile_position.png",4,220,900)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-0.0346275376</v>
      </c>
      <c r="G2821" t="n">
        <v>0.3357731258409069</v>
      </c>
      <c r="H2821" t="n">
        <v>0.026494944584011</v>
      </c>
      <c r="I2821" t="n">
        <v>0.0492314265202307</v>
      </c>
      <c r="J2821" t="n">
        <v>0.050345385572424</v>
      </c>
      <c r="K2821" t="n">
        <v>0.4433399356999726</v>
      </c>
      <c r="L2821" t="b">
        <v>0</v>
      </c>
      <c r="M2821" t="b">
        <v>0</v>
      </c>
      <c r="N2821" t="inlineStr">
        <is>
          <t>ref</t>
        </is>
      </c>
      <c r="O2821" t="n">
        <v>-55</v>
      </c>
      <c r="P2821" t="n">
        <v>0.002075</v>
      </c>
      <c r="Q2821" t="n">
        <v>-90</v>
      </c>
      <c r="R2821" t="n">
        <v>0.1207</v>
      </c>
      <c r="S2821">
        <f>IMAGE("https://mitra.stanford.edu/kundaje/oak/projects/neuro-variants/variant_position/credible/roussos_2024/variant_figures/roussos_2024.childhood.Astrocyte/rs35298688_count_position.png",4,220,900)</f>
        <v/>
      </c>
      <c r="T2821">
        <f>IMAGE("https://mitra.stanford.edu/kundaje/oak/projects/neuro-variants/variant_position/credible/roussos_2024/variant_figures/roussos_2024.childhood.Astrocyte/rs35298688_profile_position.png",4,220,900)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0.1524364859999999</v>
      </c>
      <c r="G2822" t="n">
        <v>0.0289996370217172</v>
      </c>
      <c r="H2822" t="n">
        <v>0.0151524871416971</v>
      </c>
      <c r="I2822" t="n">
        <v>0.2913432451556385</v>
      </c>
      <c r="J2822" t="n">
        <v>0.09696671322693159</v>
      </c>
      <c r="K2822" t="n">
        <v>0.3392808317972611</v>
      </c>
      <c r="L2822" t="b">
        <v>0</v>
      </c>
      <c r="M2822" t="b">
        <v>0</v>
      </c>
      <c r="N2822" t="inlineStr">
        <is>
          <t>alt</t>
        </is>
      </c>
      <c r="O2822" t="n">
        <v>-80</v>
      </c>
      <c r="P2822" t="n">
        <v>0.003098</v>
      </c>
      <c r="Q2822" t="n">
        <v>-100</v>
      </c>
      <c r="R2822" t="n">
        <v>0.0827</v>
      </c>
      <c r="S2822">
        <f>IMAGE("https://mitra.stanford.edu/kundaje/oak/projects/neuro-variants/variant_position/credible/roussos_2024/variant_figures/roussos_2024.childhood.Astrocyte/rs6800277_count_position.png",4,220,900)</f>
        <v/>
      </c>
      <c r="T2822">
        <f>IMAGE("https://mitra.stanford.edu/kundaje/oak/projects/neuro-variants/variant_position/credible/roussos_2024/variant_figures/roussos_2024.childhood.Astrocyte/rs6800277_profile_position.png",4,220,900)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-0.05397176</v>
      </c>
      <c r="G2823" t="n">
        <v>0.2086573628964552</v>
      </c>
      <c r="H2823" t="n">
        <v>0.0151427356744007</v>
      </c>
      <c r="I2823" t="n">
        <v>0.2950899776226313</v>
      </c>
      <c r="J2823" t="n">
        <v>0.0508735774312472</v>
      </c>
      <c r="K2823" t="n">
        <v>0.4494355231617999</v>
      </c>
      <c r="L2823" t="b">
        <v>0</v>
      </c>
      <c r="M2823" t="b">
        <v>0</v>
      </c>
      <c r="N2823" t="inlineStr">
        <is>
          <t>ref</t>
        </is>
      </c>
      <c r="O2823" t="n">
        <v>60</v>
      </c>
      <c r="P2823" t="n">
        <v>0.009705</v>
      </c>
      <c r="Q2823" t="n">
        <v>-100</v>
      </c>
      <c r="R2823" t="n">
        <v>0.1287</v>
      </c>
      <c r="S2823">
        <f>IMAGE("https://mitra.stanford.edu/kundaje/oak/projects/neuro-variants/variant_position/credible/roussos_2024/variant_figures/roussos_2024.childhood.Astrocyte/rs12637049_count_position.png",4,220,900)</f>
        <v/>
      </c>
      <c r="T2823">
        <f>IMAGE("https://mitra.stanford.edu/kundaje/oak/projects/neuro-variants/variant_position/credible/roussos_2024/variant_figures/roussos_2024.childhood.Astrocyte/rs12637049_profile_position.png",4,220,900)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-0.196059868</v>
      </c>
      <c r="G2824" t="n">
        <v>0.0181752613483636</v>
      </c>
      <c r="H2824" t="n">
        <v>0.027840273078716</v>
      </c>
      <c r="I2824" t="n">
        <v>0.039844813039305</v>
      </c>
      <c r="J2824" t="n">
        <v>0.0279025745536701</v>
      </c>
      <c r="K2824" t="n">
        <v>0.5560449625713085</v>
      </c>
      <c r="L2824" t="b">
        <v>1</v>
      </c>
      <c r="M2824" t="b">
        <v>0</v>
      </c>
      <c r="N2824" t="inlineStr">
        <is>
          <t>ref</t>
        </is>
      </c>
      <c r="O2824" t="n">
        <v>-45</v>
      </c>
      <c r="P2824" t="n">
        <v>0.002716</v>
      </c>
      <c r="Q2824" t="n">
        <v>25</v>
      </c>
      <c r="R2824" t="n">
        <v>0.0415</v>
      </c>
      <c r="S2824">
        <f>IMAGE("https://mitra.stanford.edu/kundaje/oak/projects/neuro-variants/variant_position/credible/roussos_2024/variant_figures/roussos_2024.childhood.Astrocyte/rs61342226_count_position.png",4,220,900)</f>
        <v/>
      </c>
      <c r="T2824">
        <f>IMAGE("https://mitra.stanford.edu/kundaje/oak/projects/neuro-variants/variant_position/credible/roussos_2024/variant_figures/roussos_2024.childhood.Astrocyte/rs61342226_profile_position.png",4,220,900)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-0.1351682338</v>
      </c>
      <c r="G2825" t="n">
        <v>0.0454366290416131</v>
      </c>
      <c r="H2825" t="n">
        <v>0.0237184004162408</v>
      </c>
      <c r="I2825" t="n">
        <v>0.07299310023878269</v>
      </c>
      <c r="J2825" t="n">
        <v>0.0265286650943035</v>
      </c>
      <c r="K2825" t="n">
        <v>0.5664177938058883</v>
      </c>
      <c r="L2825" t="b">
        <v>0</v>
      </c>
      <c r="M2825" t="b">
        <v>0</v>
      </c>
      <c r="N2825" t="inlineStr">
        <is>
          <t>ref</t>
        </is>
      </c>
      <c r="O2825" t="n">
        <v>-40</v>
      </c>
      <c r="P2825" t="n">
        <v>0.01056</v>
      </c>
      <c r="Q2825" t="n">
        <v>-40</v>
      </c>
      <c r="R2825" t="n">
        <v>0.1206</v>
      </c>
      <c r="S2825">
        <f>IMAGE("https://mitra.stanford.edu/kundaje/oak/projects/neuro-variants/variant_position/credible/roussos_2024/variant_figures/roussos_2024.childhood.Astrocyte/rs34809784_count_position.png",4,220,900)</f>
        <v/>
      </c>
      <c r="T2825">
        <f>IMAGE("https://mitra.stanford.edu/kundaje/oak/projects/neuro-variants/variant_position/credible/roussos_2024/variant_figures/roussos_2024.childhood.Astrocyte/rs34809784_profile_position.png",4,220,900)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-0.012369641846</v>
      </c>
      <c r="G2826" t="n">
        <v>0.6773502057276404</v>
      </c>
      <c r="H2826" t="n">
        <v>0.0325877925145008</v>
      </c>
      <c r="I2826" t="n">
        <v>0.0220247548094514</v>
      </c>
      <c r="J2826" t="n">
        <v>0.0064337126850006</v>
      </c>
      <c r="K2826" t="n">
        <v>0.7432426249301037</v>
      </c>
      <c r="L2826" t="b">
        <v>0</v>
      </c>
      <c r="M2826" t="b">
        <v>0</v>
      </c>
      <c r="N2826" t="inlineStr">
        <is>
          <t>ref</t>
        </is>
      </c>
      <c r="O2826" t="n">
        <v>100</v>
      </c>
      <c r="P2826" t="n">
        <v>0.04523</v>
      </c>
      <c r="Q2826" t="n">
        <v>5</v>
      </c>
      <c r="R2826" t="n">
        <v>0.01132</v>
      </c>
      <c r="S2826">
        <f>IMAGE("https://mitra.stanford.edu/kundaje/oak/projects/neuro-variants/variant_position/credible/roussos_2024/variant_figures/roussos_2024.childhood.Astrocyte/rs13098556_count_position.png",4,220,900)</f>
        <v/>
      </c>
      <c r="T2826">
        <f>IMAGE("https://mitra.stanford.edu/kundaje/oak/projects/neuro-variants/variant_position/credible/roussos_2024/variant_figures/roussos_2024.childhood.Astrocyte/rs13098556_profile_position.png",4,220,900)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-0.02533559056</v>
      </c>
      <c r="G2827" t="n">
        <v>0.4523984728843719</v>
      </c>
      <c r="H2827" t="n">
        <v>0.0211494826068064</v>
      </c>
      <c r="I2827" t="n">
        <v>0.1062050324177995</v>
      </c>
      <c r="J2827" t="n">
        <v>0.0313113965789654</v>
      </c>
      <c r="K2827" t="n">
        <v>0.521227288437191</v>
      </c>
      <c r="L2827" t="b">
        <v>0</v>
      </c>
      <c r="M2827" t="b">
        <v>0</v>
      </c>
      <c r="N2827" t="inlineStr">
        <is>
          <t>ref</t>
        </is>
      </c>
      <c r="O2827" t="n">
        <v>-60</v>
      </c>
      <c r="P2827" t="n">
        <v>0.02917</v>
      </c>
      <c r="Q2827" t="n">
        <v>-65</v>
      </c>
      <c r="R2827" t="n">
        <v>0.10815</v>
      </c>
      <c r="S2827">
        <f>IMAGE("https://mitra.stanford.edu/kundaje/oak/projects/neuro-variants/variant_position/credible/roussos_2024/variant_figures/roussos_2024.childhood.Astrocyte/rs12629678_count_position.png",4,220,900)</f>
        <v/>
      </c>
      <c r="T2827">
        <f>IMAGE("https://mitra.stanford.edu/kundaje/oak/projects/neuro-variants/variant_position/credible/roussos_2024/variant_figures/roussos_2024.childhood.Astrocyte/rs12629678_profile_position.png",4,220,900)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-0.07437638320000001</v>
      </c>
      <c r="G2828" t="n">
        <v>0.1241350708968761</v>
      </c>
      <c r="H2828" t="n">
        <v>0.014157033812042</v>
      </c>
      <c r="I2828" t="n">
        <v>0.3521924131317441</v>
      </c>
      <c r="J2828" t="n">
        <v>0.0519543862059489</v>
      </c>
      <c r="K2828" t="n">
        <v>0.4746484401402617</v>
      </c>
      <c r="L2828" t="b">
        <v>0</v>
      </c>
      <c r="M2828" t="b">
        <v>0</v>
      </c>
      <c r="N2828" t="inlineStr">
        <is>
          <t>ref</t>
        </is>
      </c>
      <c r="O2828" t="n">
        <v>-100</v>
      </c>
      <c r="P2828" t="n">
        <v>0.02876</v>
      </c>
      <c r="Q2828" t="n">
        <v>-100</v>
      </c>
      <c r="R2828" t="n">
        <v>0.1865</v>
      </c>
      <c r="S2828">
        <f>IMAGE("https://mitra.stanford.edu/kundaje/oak/projects/neuro-variants/variant_position/credible/roussos_2024/variant_figures/roussos_2024.childhood.Astrocyte/rs13090291_count_position.png",4,220,900)</f>
        <v/>
      </c>
      <c r="T2828">
        <f>IMAGE("https://mitra.stanford.edu/kundaje/oak/projects/neuro-variants/variant_position/credible/roussos_2024/variant_figures/roussos_2024.childhood.Astrocyte/rs13090291_profile_position.png",4,220,900)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0.0776192954</v>
      </c>
      <c r="G2829" t="n">
        <v>0.1112383881694156</v>
      </c>
      <c r="H2829" t="n">
        <v>0.0148071077797741</v>
      </c>
      <c r="I2829" t="n">
        <v>0.3079434234347534</v>
      </c>
      <c r="J2829" t="n">
        <v>0.0552349766817033</v>
      </c>
      <c r="K2829" t="n">
        <v>0.4611316995596323</v>
      </c>
      <c r="L2829" t="b">
        <v>0</v>
      </c>
      <c r="M2829" t="b">
        <v>0</v>
      </c>
      <c r="N2829" t="inlineStr">
        <is>
          <t>alt</t>
        </is>
      </c>
      <c r="O2829" t="n">
        <v>80</v>
      </c>
      <c r="P2829" t="n">
        <v>0.014175</v>
      </c>
      <c r="Q2829" t="n">
        <v>-100</v>
      </c>
      <c r="R2829" t="n">
        <v>0.04944</v>
      </c>
      <c r="S2829">
        <f>IMAGE("https://mitra.stanford.edu/kundaje/oak/projects/neuro-variants/variant_position/credible/roussos_2024/variant_figures/roussos_2024.childhood.Astrocyte/rs1119975_count_position.png",4,220,900)</f>
        <v/>
      </c>
      <c r="T2829">
        <f>IMAGE("https://mitra.stanford.edu/kundaje/oak/projects/neuro-variants/variant_position/credible/roussos_2024/variant_figures/roussos_2024.childhood.Astrocyte/rs1119975_profile_position.png",4,220,900)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0.0793778104</v>
      </c>
      <c r="G2830" t="n">
        <v>0.1190790167506652</v>
      </c>
      <c r="H2830" t="n">
        <v>0.0129804843514503</v>
      </c>
      <c r="I2830" t="n">
        <v>0.4254459511925914</v>
      </c>
      <c r="J2830" t="n">
        <v>0.0181012571271552</v>
      </c>
      <c r="K2830" t="n">
        <v>0.6096343442297683</v>
      </c>
      <c r="L2830" t="b">
        <v>0</v>
      </c>
      <c r="M2830" t="b">
        <v>0</v>
      </c>
      <c r="N2830" t="inlineStr">
        <is>
          <t>alt</t>
        </is>
      </c>
      <c r="O2830" t="n">
        <v>-45</v>
      </c>
      <c r="P2830" t="n">
        <v>0.09766</v>
      </c>
      <c r="Q2830" t="n">
        <v>-70</v>
      </c>
      <c r="R2830" t="n">
        <v>0.05865</v>
      </c>
      <c r="S2830">
        <f>IMAGE("https://mitra.stanford.edu/kundaje/oak/projects/neuro-variants/variant_position/credible/roussos_2024/variant_figures/roussos_2024.childhood.Astrocyte/rs35626895_count_position.png",4,220,900)</f>
        <v/>
      </c>
      <c r="T2830">
        <f>IMAGE("https://mitra.stanford.edu/kundaje/oak/projects/neuro-variants/variant_position/credible/roussos_2024/variant_figures/roussos_2024.childhood.Astrocyte/rs35626895_profile_position.png",4,220,900)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0.004451410174</v>
      </c>
      <c r="G2831" t="n">
        <v>0.8568343595672512</v>
      </c>
      <c r="H2831" t="n">
        <v>0.0235360743192416</v>
      </c>
      <c r="I2831" t="n">
        <v>0.07280862676708109</v>
      </c>
      <c r="J2831" t="n">
        <v>0.0183455076977093</v>
      </c>
      <c r="K2831" t="n">
        <v>0.6016278637558362</v>
      </c>
      <c r="L2831" t="b">
        <v>0</v>
      </c>
      <c r="M2831" t="b">
        <v>0</v>
      </c>
      <c r="N2831" t="inlineStr">
        <is>
          <t>alt</t>
        </is>
      </c>
      <c r="O2831" t="n">
        <v>-100</v>
      </c>
      <c r="P2831" t="n">
        <v>0.001678</v>
      </c>
      <c r="Q2831" t="n">
        <v>90</v>
      </c>
      <c r="R2831" t="n">
        <v>0.0317</v>
      </c>
      <c r="S2831">
        <f>IMAGE("https://mitra.stanford.edu/kundaje/oak/projects/neuro-variants/variant_position/credible/roussos_2024/variant_figures/roussos_2024.childhood.Astrocyte/rs871932_count_position.png",4,220,900)</f>
        <v/>
      </c>
      <c r="T2831">
        <f>IMAGE("https://mitra.stanford.edu/kundaje/oak/projects/neuro-variants/variant_position/credible/roussos_2024/variant_figures/roussos_2024.childhood.Astrocyte/rs871932_profile_position.png",4,220,900)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-0.0393234256</v>
      </c>
      <c r="G2832" t="n">
        <v>0.278512037106229</v>
      </c>
      <c r="H2832" t="n">
        <v>0.0178655153197393</v>
      </c>
      <c r="I2832" t="n">
        <v>0.1895724025853729</v>
      </c>
      <c r="J2832" t="n">
        <v>0.001603657652294</v>
      </c>
      <c r="K2832" t="n">
        <v>0.8707596975458061</v>
      </c>
      <c r="L2832" t="b">
        <v>0</v>
      </c>
      <c r="M2832" t="b">
        <v>0</v>
      </c>
      <c r="N2832" t="inlineStr">
        <is>
          <t>ref</t>
        </is>
      </c>
      <c r="O2832" t="n">
        <v>0</v>
      </c>
      <c r="P2832" t="n">
        <v>0</v>
      </c>
      <c r="Q2832" t="n">
        <v>-75</v>
      </c>
      <c r="R2832" t="n">
        <v>0.05286</v>
      </c>
      <c r="S2832">
        <f>IMAGE("https://mitra.stanford.edu/kundaje/oak/projects/neuro-variants/variant_position/credible/roussos_2024/variant_figures/roussos_2024.childhood.Astrocyte/rs6804840_count_position.png",4,220,900)</f>
        <v/>
      </c>
      <c r="T2832">
        <f>IMAGE("https://mitra.stanford.edu/kundaje/oak/projects/neuro-variants/variant_position/credible/roussos_2024/variant_figures/roussos_2024.childhood.Astrocyte/rs6804840_profile_position.png",4,220,900)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-0.05937338835</v>
      </c>
      <c r="G2833" t="n">
        <v>0.186987594027365</v>
      </c>
      <c r="H2833" t="n">
        <v>0.0117064737695016</v>
      </c>
      <c r="I2833" t="n">
        <v>0.53284715292989</v>
      </c>
      <c r="J2833" t="n">
        <v>0.0045888575942845</v>
      </c>
      <c r="K2833" t="n">
        <v>0.7871546912063708</v>
      </c>
      <c r="L2833" t="b">
        <v>0</v>
      </c>
      <c r="M2833" t="b">
        <v>0</v>
      </c>
      <c r="N2833" t="inlineStr">
        <is>
          <t>ref</t>
        </is>
      </c>
      <c r="O2833" t="n">
        <v>-80</v>
      </c>
      <c r="P2833" t="n">
        <v>0.001953</v>
      </c>
      <c r="Q2833" t="n">
        <v>-100</v>
      </c>
      <c r="R2833" t="n">
        <v>0.1471</v>
      </c>
      <c r="S2833">
        <f>IMAGE("https://mitra.stanford.edu/kundaje/oak/projects/neuro-variants/variant_position/credible/roussos_2024/variant_figures/roussos_2024.childhood.Astrocyte/rs35797074_count_position.png",4,220,900)</f>
        <v/>
      </c>
      <c r="T2833">
        <f>IMAGE("https://mitra.stanford.edu/kundaje/oak/projects/neuro-variants/variant_position/credible/roussos_2024/variant_figures/roussos_2024.childhood.Astrocyte/rs35797074_profile_position.png",4,220,900)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0.067650923</v>
      </c>
      <c r="G2834" t="n">
        <v>0.1339362033142503</v>
      </c>
      <c r="H2834" t="n">
        <v>0.009945639660776801</v>
      </c>
      <c r="I2834" t="n">
        <v>0.7256221364814202</v>
      </c>
      <c r="J2834" t="n">
        <v>0.014363460114645</v>
      </c>
      <c r="K2834" t="n">
        <v>0.6589802663022957</v>
      </c>
      <c r="L2834" t="b">
        <v>0</v>
      </c>
      <c r="M2834" t="b">
        <v>0</v>
      </c>
      <c r="N2834" t="inlineStr">
        <is>
          <t>alt</t>
        </is>
      </c>
      <c r="O2834" t="n">
        <v>85</v>
      </c>
      <c r="P2834" t="n">
        <v>0.003769</v>
      </c>
      <c r="Q2834" t="n">
        <v>-50</v>
      </c>
      <c r="R2834" t="n">
        <v>0.03668</v>
      </c>
      <c r="S2834">
        <f>IMAGE("https://mitra.stanford.edu/kundaje/oak/projects/neuro-variants/variant_position/credible/roussos_2024/variant_figures/roussos_2024.childhood.Astrocyte/rs12638648_count_position.png",4,220,900)</f>
        <v/>
      </c>
      <c r="T2834">
        <f>IMAGE("https://mitra.stanford.edu/kundaje/oak/projects/neuro-variants/variant_position/credible/roussos_2024/variant_figures/roussos_2024.childhood.Astrocyte/rs12638648_profile_position.png",4,220,900)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0.0147806599</v>
      </c>
      <c r="G2835" t="n">
        <v>0.6095057655877479</v>
      </c>
      <c r="H2835" t="n">
        <v>0.0380642237707267</v>
      </c>
      <c r="I2835" t="n">
        <v>0.0116529375387576</v>
      </c>
      <c r="J2835" t="n">
        <v>0.0118324135772785</v>
      </c>
      <c r="K2835" t="n">
        <v>0.6738750086131039</v>
      </c>
      <c r="L2835" t="b">
        <v>1</v>
      </c>
      <c r="M2835" t="b">
        <v>0</v>
      </c>
      <c r="N2835" t="inlineStr">
        <is>
          <t>alt</t>
        </is>
      </c>
      <c r="O2835" t="n">
        <v>-85</v>
      </c>
      <c r="P2835" t="n">
        <v>0.00827</v>
      </c>
      <c r="Q2835" t="n">
        <v>-85</v>
      </c>
      <c r="R2835" t="n">
        <v>0.08215</v>
      </c>
      <c r="S2835">
        <f>IMAGE("https://mitra.stanford.edu/kundaje/oak/projects/neuro-variants/variant_position/credible/roussos_2024/variant_figures/roussos_2024.childhood.Astrocyte/rs6789240_count_position.png",4,220,900)</f>
        <v/>
      </c>
      <c r="T2835">
        <f>IMAGE("https://mitra.stanford.edu/kundaje/oak/projects/neuro-variants/variant_position/credible/roussos_2024/variant_figures/roussos_2024.childhood.Astrocyte/rs6789240_profile_position.png",4,220,900)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-8.168764600000009e-05</v>
      </c>
      <c r="G2836" t="n">
        <v>0.8305590996301875</v>
      </c>
      <c r="H2836" t="n">
        <v>0.0259982365028702</v>
      </c>
      <c r="I2836" t="n">
        <v>0.0505633586196166</v>
      </c>
      <c r="J2836" t="n">
        <v>0.0002732553258073</v>
      </c>
      <c r="K2836" t="n">
        <v>0.9653999880286498</v>
      </c>
      <c r="L2836" t="b">
        <v>0</v>
      </c>
      <c r="M2836" t="b">
        <v>0</v>
      </c>
      <c r="N2836" t="inlineStr">
        <is>
          <t>ref</t>
        </is>
      </c>
      <c r="O2836" t="n">
        <v>-55</v>
      </c>
      <c r="P2836" t="n">
        <v>0.00555</v>
      </c>
      <c r="Q2836" t="n">
        <v>-55</v>
      </c>
      <c r="R2836" t="n">
        <v>0.02797</v>
      </c>
      <c r="S2836">
        <f>IMAGE("https://mitra.stanford.edu/kundaje/oak/projects/neuro-variants/variant_position/credible/roussos_2024/variant_figures/roussos_2024.childhood.Astrocyte/rs13088846_count_position.png",4,220,900)</f>
        <v/>
      </c>
      <c r="T2836">
        <f>IMAGE("https://mitra.stanford.edu/kundaje/oak/projects/neuro-variants/variant_position/credible/roussos_2024/variant_figures/roussos_2024.childhood.Astrocyte/rs13088846_profile_position.png",4,220,900)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-0.182475756</v>
      </c>
      <c r="G2837" t="n">
        <v>0.0208727293327431</v>
      </c>
      <c r="H2837" t="n">
        <v>0.0300926641372504</v>
      </c>
      <c r="I2837" t="n">
        <v>0.0300840471248907</v>
      </c>
      <c r="J2837" t="n">
        <v>0.0189935349927105</v>
      </c>
      <c r="K2837" t="n">
        <v>0.5972802303305443</v>
      </c>
      <c r="L2837" t="b">
        <v>0</v>
      </c>
      <c r="M2837" t="b">
        <v>0</v>
      </c>
      <c r="N2837" t="inlineStr">
        <is>
          <t>ref</t>
        </is>
      </c>
      <c r="O2837" t="n">
        <v>-10</v>
      </c>
      <c r="P2837" t="n">
        <v>0.008194</v>
      </c>
      <c r="Q2837" t="n">
        <v>75</v>
      </c>
      <c r="R2837" t="n">
        <v>0.1395</v>
      </c>
      <c r="S2837">
        <f>IMAGE("https://mitra.stanford.edu/kundaje/oak/projects/neuro-variants/variant_position/credible/roussos_2024/variant_figures/roussos_2024.childhood.Astrocyte/rs6792256_count_position.png",4,220,900)</f>
        <v/>
      </c>
      <c r="T2837">
        <f>IMAGE("https://mitra.stanford.edu/kundaje/oak/projects/neuro-variants/variant_position/credible/roussos_2024/variant_figures/roussos_2024.childhood.Astrocyte/rs6792256_profile_position.png",4,220,900)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0.0160756133999999</v>
      </c>
      <c r="G2838" t="n">
        <v>0.4660186131394192</v>
      </c>
      <c r="H2838" t="n">
        <v>0.0155293108141059</v>
      </c>
      <c r="I2838" t="n">
        <v>0.2696452738664787</v>
      </c>
      <c r="J2838" t="n">
        <v>0.0434414905391067</v>
      </c>
      <c r="K2838" t="n">
        <v>0.4708703269513936</v>
      </c>
      <c r="L2838" t="b">
        <v>0</v>
      </c>
      <c r="M2838" t="b">
        <v>0</v>
      </c>
      <c r="N2838" t="inlineStr">
        <is>
          <t>alt</t>
        </is>
      </c>
      <c r="O2838" t="n">
        <v>75</v>
      </c>
      <c r="P2838" t="n">
        <v>0.001923</v>
      </c>
      <c r="Q2838" t="n">
        <v>5</v>
      </c>
      <c r="R2838" t="n">
        <v>0.009639999999999999</v>
      </c>
      <c r="S2838">
        <f>IMAGE("https://mitra.stanford.edu/kundaje/oak/projects/neuro-variants/variant_position/credible/roussos_2024/variant_figures/roussos_2024.childhood.Astrocyte/rs7612699_count_position.png",4,220,900)</f>
        <v/>
      </c>
      <c r="T2838">
        <f>IMAGE("https://mitra.stanford.edu/kundaje/oak/projects/neuro-variants/variant_position/credible/roussos_2024/variant_figures/roussos_2024.childhood.Astrocyte/rs7612699_profile_position.png",4,220,900)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-0.0151525397999999</v>
      </c>
      <c r="G2839" t="n">
        <v>0.2540597798436299</v>
      </c>
      <c r="H2839" t="n">
        <v>0.0136102315496138</v>
      </c>
      <c r="I2839" t="n">
        <v>0.3869651793489188</v>
      </c>
      <c r="J2839" t="n">
        <v>0.0251990260508498</v>
      </c>
      <c r="K2839" t="n">
        <v>0.5525597715639532</v>
      </c>
      <c r="L2839" t="b">
        <v>0</v>
      </c>
      <c r="M2839" t="b">
        <v>0</v>
      </c>
      <c r="N2839" t="inlineStr">
        <is>
          <t>ref</t>
        </is>
      </c>
      <c r="O2839" t="n">
        <v>70</v>
      </c>
      <c r="P2839" t="n">
        <v>0.00489</v>
      </c>
      <c r="Q2839" t="n">
        <v>-70</v>
      </c>
      <c r="R2839" t="n">
        <v>0.1173</v>
      </c>
      <c r="S2839">
        <f>IMAGE("https://mitra.stanford.edu/kundaje/oak/projects/neuro-variants/variant_position/credible/roussos_2024/variant_figures/roussos_2024.childhood.Astrocyte/rs6983_count_position.png",4,220,900)</f>
        <v/>
      </c>
      <c r="T2839">
        <f>IMAGE("https://mitra.stanford.edu/kundaje/oak/projects/neuro-variants/variant_position/credible/roussos_2024/variant_figures/roussos_2024.childhood.Astrocyte/rs6983_profile_position.png",4,220,900)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-0.0309805214</v>
      </c>
      <c r="G2840" t="n">
        <v>0.3990211276912354</v>
      </c>
      <c r="H2840" t="n">
        <v>0.0106369256596204</v>
      </c>
      <c r="I2840" t="n">
        <v>0.6436989382639139</v>
      </c>
      <c r="J2840" t="n">
        <v>0.0795478311312617</v>
      </c>
      <c r="K2840" t="n">
        <v>0.3642296562735174</v>
      </c>
      <c r="L2840" t="b">
        <v>0</v>
      </c>
      <c r="M2840" t="b">
        <v>0</v>
      </c>
      <c r="N2840" t="inlineStr">
        <is>
          <t>ref</t>
        </is>
      </c>
      <c r="O2840" t="n">
        <v>-100</v>
      </c>
      <c r="P2840" t="n">
        <v>0.01675</v>
      </c>
      <c r="Q2840" t="n">
        <v>-15</v>
      </c>
      <c r="R2840" t="n">
        <v>0.05664</v>
      </c>
      <c r="S2840">
        <f>IMAGE("https://mitra.stanford.edu/kundaje/oak/projects/neuro-variants/variant_position/credible/roussos_2024/variant_figures/roussos_2024.childhood.Astrocyte/rs9825834_count_position.png",4,220,900)</f>
        <v/>
      </c>
      <c r="T2840">
        <f>IMAGE("https://mitra.stanford.edu/kundaje/oak/projects/neuro-variants/variant_position/credible/roussos_2024/variant_figures/roussos_2024.childhood.Astrocyte/rs9825834_profile_position.png",4,220,900)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0.0075480698599999</v>
      </c>
      <c r="G2841" t="n">
        <v>0.7226294665259467</v>
      </c>
      <c r="H2841" t="n">
        <v>0.0288143162301346</v>
      </c>
      <c r="I2841" t="n">
        <v>0.0346161812327446</v>
      </c>
      <c r="J2841" t="n">
        <v>0.0854312167494828</v>
      </c>
      <c r="K2841" t="n">
        <v>0.3524436658288457</v>
      </c>
      <c r="L2841" t="b">
        <v>0</v>
      </c>
      <c r="M2841" t="b">
        <v>0</v>
      </c>
      <c r="N2841" t="inlineStr">
        <is>
          <t>alt</t>
        </is>
      </c>
      <c r="O2841" t="n">
        <v>-65</v>
      </c>
      <c r="P2841" t="n">
        <v>0.04346</v>
      </c>
      <c r="Q2841" t="n">
        <v>-40</v>
      </c>
      <c r="R2841" t="n">
        <v>0.3652</v>
      </c>
      <c r="S2841">
        <f>IMAGE("https://mitra.stanford.edu/kundaje/oak/projects/neuro-variants/variant_position/credible/roussos_2024/variant_figures/roussos_2024.childhood.Astrocyte/rs28649009_count_position.png",4,220,900)</f>
        <v/>
      </c>
      <c r="T2841">
        <f>IMAGE("https://mitra.stanford.edu/kundaje/oak/projects/neuro-variants/variant_position/credible/roussos_2024/variant_figures/roussos_2024.childhood.Astrocyte/rs28649009_profile_position.png",4,220,900)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-0.0436218334</v>
      </c>
      <c r="G2842" t="n">
        <v>0.2708440625887547</v>
      </c>
      <c r="H2842" t="n">
        <v>0.0215629040980948</v>
      </c>
      <c r="I2842" t="n">
        <v>0.09913394560780681</v>
      </c>
      <c r="J2842" t="n">
        <v>0.0135330081747612</v>
      </c>
      <c r="K2842" t="n">
        <v>0.6632138518811612</v>
      </c>
      <c r="L2842" t="b">
        <v>0</v>
      </c>
      <c r="M2842" t="b">
        <v>0</v>
      </c>
      <c r="N2842" t="inlineStr">
        <is>
          <t>ref</t>
        </is>
      </c>
      <c r="O2842" t="n">
        <v>-60</v>
      </c>
      <c r="P2842" t="n">
        <v>0.006943</v>
      </c>
      <c r="Q2842" t="n">
        <v>100</v>
      </c>
      <c r="R2842" t="n">
        <v>0.127</v>
      </c>
      <c r="S2842">
        <f>IMAGE("https://mitra.stanford.edu/kundaje/oak/projects/neuro-variants/variant_position/credible/roussos_2024/variant_figures/roussos_2024.childhood.Astrocyte/rs9838212_count_position.png",4,220,900)</f>
        <v/>
      </c>
      <c r="T2842">
        <f>IMAGE("https://mitra.stanford.edu/kundaje/oak/projects/neuro-variants/variant_position/credible/roussos_2024/variant_figures/roussos_2024.childhood.Astrocyte/rs9838212_profile_position.png",4,220,900)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0.0253177018</v>
      </c>
      <c r="G2843" t="n">
        <v>0.436367303371863</v>
      </c>
      <c r="H2843" t="n">
        <v>0.0549306841928523</v>
      </c>
      <c r="I2843" t="n">
        <v>0.0028133708260438</v>
      </c>
      <c r="J2843" t="n">
        <v>0.0058360620701761</v>
      </c>
      <c r="K2843" t="n">
        <v>0.7589314790884749</v>
      </c>
      <c r="L2843" t="b">
        <v>0</v>
      </c>
      <c r="M2843" t="b">
        <v>0</v>
      </c>
      <c r="N2843" t="inlineStr">
        <is>
          <t>alt</t>
        </is>
      </c>
      <c r="O2843" t="n">
        <v>-95</v>
      </c>
      <c r="P2843" t="n">
        <v>0.00842</v>
      </c>
      <c r="Q2843" t="n">
        <v>-65</v>
      </c>
      <c r="R2843" t="n">
        <v>0.09660000000000001</v>
      </c>
      <c r="S2843">
        <f>IMAGE("https://mitra.stanford.edu/kundaje/oak/projects/neuro-variants/variant_position/credible/roussos_2024/variant_figures/roussos_2024.childhood.Astrocyte/rs9854353_count_position.png",4,220,900)</f>
        <v/>
      </c>
      <c r="T2843">
        <f>IMAGE("https://mitra.stanford.edu/kundaje/oak/projects/neuro-variants/variant_position/credible/roussos_2024/variant_figures/roussos_2024.childhood.Astrocyte/rs9854353_profile_position.png",4,220,900)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-0.0176923072</v>
      </c>
      <c r="G2844" t="n">
        <v>0.5760308782825396</v>
      </c>
      <c r="H2844" t="n">
        <v>0.0205231003589428</v>
      </c>
      <c r="I2844" t="n">
        <v>0.120322169432579</v>
      </c>
      <c r="J2844" t="n">
        <v>0.0035324738766381</v>
      </c>
      <c r="K2844" t="n">
        <v>0.8242182026283229</v>
      </c>
      <c r="L2844" t="b">
        <v>0</v>
      </c>
      <c r="M2844" t="b">
        <v>0</v>
      </c>
      <c r="N2844" t="inlineStr">
        <is>
          <t>ref</t>
        </is>
      </c>
      <c r="O2844" t="n">
        <v>90</v>
      </c>
      <c r="P2844" t="n">
        <v>0.00612</v>
      </c>
      <c r="Q2844" t="n">
        <v>-90</v>
      </c>
      <c r="R2844" t="n">
        <v>0.05273</v>
      </c>
      <c r="S2844">
        <f>IMAGE("https://mitra.stanford.edu/kundaje/oak/projects/neuro-variants/variant_position/credible/roussos_2024/variant_figures/roussos_2024.childhood.Astrocyte/rs3866226_count_position.png",4,220,900)</f>
        <v/>
      </c>
      <c r="T2844">
        <f>IMAGE("https://mitra.stanford.edu/kundaje/oak/projects/neuro-variants/variant_position/credible/roussos_2024/variant_figures/roussos_2024.childhood.Astrocyte/rs3866226_profile_position.png",4,220,900)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-0.2544757111999999</v>
      </c>
      <c r="G2845" t="n">
        <v>0.0121735307913132</v>
      </c>
      <c r="H2845" t="n">
        <v>0.0330830438678876</v>
      </c>
      <c r="I2845" t="n">
        <v>0.0262917642954015</v>
      </c>
      <c r="J2845" t="n">
        <v>0.2430888537778693</v>
      </c>
      <c r="K2845" t="n">
        <v>0.1699472755697472</v>
      </c>
      <c r="L2845" t="b">
        <v>1</v>
      </c>
      <c r="M2845" t="b">
        <v>0</v>
      </c>
      <c r="N2845" t="inlineStr">
        <is>
          <t>ref</t>
        </is>
      </c>
      <c r="O2845" t="n">
        <v>100</v>
      </c>
      <c r="P2845" t="n">
        <v>0.012566</v>
      </c>
      <c r="Q2845" t="n">
        <v>-85</v>
      </c>
      <c r="R2845" t="n">
        <v>0.04105</v>
      </c>
      <c r="S2845">
        <f>IMAGE("https://mitra.stanford.edu/kundaje/oak/projects/neuro-variants/variant_position/credible/roussos_2024/variant_figures/roussos_2024.childhood.Astrocyte/rs875250_count_position.png",4,220,900)</f>
        <v/>
      </c>
      <c r="T2845">
        <f>IMAGE("https://mitra.stanford.edu/kundaje/oak/projects/neuro-variants/variant_position/credible/roussos_2024/variant_figures/roussos_2024.childhood.Astrocyte/rs875250_profile_position.png",4,220,900)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0.0455808485999999</v>
      </c>
      <c r="G2846" t="n">
        <v>0.242562040414398</v>
      </c>
      <c r="H2846" t="n">
        <v>0.0129557595815858</v>
      </c>
      <c r="I2846" t="n">
        <v>0.4344333248096888</v>
      </c>
      <c r="J2846" t="n">
        <v>0.009367009380748401</v>
      </c>
      <c r="K2846" t="n">
        <v>0.7052031310011118</v>
      </c>
      <c r="L2846" t="b">
        <v>0</v>
      </c>
      <c r="M2846" t="b">
        <v>0</v>
      </c>
      <c r="N2846" t="inlineStr">
        <is>
          <t>alt</t>
        </is>
      </c>
      <c r="O2846" t="n">
        <v>100</v>
      </c>
      <c r="P2846" t="n">
        <v>0.01198</v>
      </c>
      <c r="Q2846" t="n">
        <v>-5</v>
      </c>
      <c r="R2846" t="n">
        <v>0.010345</v>
      </c>
      <c r="S2846">
        <f>IMAGE("https://mitra.stanford.edu/kundaje/oak/projects/neuro-variants/variant_position/credible/roussos_2024/variant_figures/roussos_2024.childhood.Astrocyte/rs62291400_count_position.png",4,220,900)</f>
        <v/>
      </c>
      <c r="T2846">
        <f>IMAGE("https://mitra.stanford.edu/kundaje/oak/projects/neuro-variants/variant_position/credible/roussos_2024/variant_figures/roussos_2024.childhood.Astrocyte/rs62291400_profile_position.png",4,220,900)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0.0785089962</v>
      </c>
      <c r="G2847" t="n">
        <v>0.1098312807094375</v>
      </c>
      <c r="H2847" t="n">
        <v>0.0148410736436824</v>
      </c>
      <c r="I2847" t="n">
        <v>0.3126157636785641</v>
      </c>
      <c r="J2847" t="n">
        <v>0.0033676047415141</v>
      </c>
      <c r="K2847" t="n">
        <v>0.8176190365635513</v>
      </c>
      <c r="L2847" t="b">
        <v>0</v>
      </c>
      <c r="M2847" t="b">
        <v>0</v>
      </c>
      <c r="N2847" t="inlineStr">
        <is>
          <t>alt</t>
        </is>
      </c>
      <c r="O2847" t="n">
        <v>50</v>
      </c>
      <c r="P2847" t="n">
        <v>0.03078</v>
      </c>
      <c r="Q2847" t="n">
        <v>100</v>
      </c>
      <c r="R2847" t="n">
        <v>0.2632</v>
      </c>
      <c r="S2847">
        <f>IMAGE("https://mitra.stanford.edu/kundaje/oak/projects/neuro-variants/variant_position/credible/roussos_2024/variant_figures/roussos_2024.childhood.Astrocyte/rs62291403_count_position.png",4,220,900)</f>
        <v/>
      </c>
      <c r="T2847">
        <f>IMAGE("https://mitra.stanford.edu/kundaje/oak/projects/neuro-variants/variant_position/credible/roussos_2024/variant_figures/roussos_2024.childhood.Astrocyte/rs62291403_profile_position.png",4,220,900)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0.0472023442</v>
      </c>
      <c r="G2848" t="n">
        <v>0.2439120313097431</v>
      </c>
      <c r="H2848" t="n">
        <v>0.0174469704113192</v>
      </c>
      <c r="I2848" t="n">
        <v>0.1919855151508573</v>
      </c>
      <c r="J2848" t="n">
        <v>0.1694358575103233</v>
      </c>
      <c r="K2848" t="n">
        <v>0.2342817992085258</v>
      </c>
      <c r="L2848" t="b">
        <v>0</v>
      </c>
      <c r="M2848" t="b">
        <v>0</v>
      </c>
      <c r="N2848" t="inlineStr">
        <is>
          <t>alt</t>
        </is>
      </c>
      <c r="O2848" t="n">
        <v>-100</v>
      </c>
      <c r="P2848" t="n">
        <v>0.03125</v>
      </c>
      <c r="Q2848" t="n">
        <v>-100</v>
      </c>
      <c r="R2848" t="n">
        <v>0.303</v>
      </c>
      <c r="S2848">
        <f>IMAGE("https://mitra.stanford.edu/kundaje/oak/projects/neuro-variants/variant_position/credible/roussos_2024/variant_figures/roussos_2024.childhood.Astrocyte/rs13098541_count_position.png",4,220,900)</f>
        <v/>
      </c>
      <c r="T2848">
        <f>IMAGE("https://mitra.stanford.edu/kundaje/oak/projects/neuro-variants/variant_position/credible/roussos_2024/variant_figures/roussos_2024.childhood.Astrocyte/rs13098541_profile_position.png",4,220,900)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-0.1133855871999999</v>
      </c>
      <c r="G2849" t="n">
        <v>0.0564972641521668</v>
      </c>
      <c r="H2849" t="n">
        <v>0.0149758513003161</v>
      </c>
      <c r="I2849" t="n">
        <v>0.3003809149245691</v>
      </c>
      <c r="J2849" t="n">
        <v>0.1418103546976253</v>
      </c>
      <c r="K2849" t="n">
        <v>0.2659657202956203</v>
      </c>
      <c r="L2849" t="b">
        <v>0</v>
      </c>
      <c r="M2849" t="b">
        <v>0</v>
      </c>
      <c r="N2849" t="inlineStr">
        <is>
          <t>ref</t>
        </is>
      </c>
      <c r="O2849" t="n">
        <v>-55</v>
      </c>
      <c r="P2849" t="n">
        <v>0.005753</v>
      </c>
      <c r="Q2849" t="n">
        <v>45</v>
      </c>
      <c r="R2849" t="n">
        <v>0.06444999999999999</v>
      </c>
      <c r="S2849">
        <f>IMAGE("https://mitra.stanford.edu/kundaje/oak/projects/neuro-variants/variant_position/credible/roussos_2024/variant_figures/roussos_2024.childhood.Astrocyte/rs35709455_count_position.png",4,220,900)</f>
        <v/>
      </c>
      <c r="T2849">
        <f>IMAGE("https://mitra.stanford.edu/kundaje/oak/projects/neuro-variants/variant_position/credible/roussos_2024/variant_figures/roussos_2024.childhood.Astrocyte/rs35709455_profile_position.png",4,220,900)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-0.06123762588</v>
      </c>
      <c r="G2850" t="n">
        <v>0.1887309534578155</v>
      </c>
      <c r="H2850" t="n">
        <v>0.0193141580102558</v>
      </c>
      <c r="I2850" t="n">
        <v>0.1450805178173651</v>
      </c>
      <c r="J2850" t="n">
        <v>0.0179577599169547</v>
      </c>
      <c r="K2850" t="n">
        <v>0.6066206055798048</v>
      </c>
      <c r="L2850" t="b">
        <v>0</v>
      </c>
      <c r="M2850" t="b">
        <v>0</v>
      </c>
      <c r="N2850" t="inlineStr">
        <is>
          <t>ref</t>
        </is>
      </c>
      <c r="O2850" t="n">
        <v>-70</v>
      </c>
      <c r="P2850" t="n">
        <v>0.00158</v>
      </c>
      <c r="Q2850" t="n">
        <v>-10</v>
      </c>
      <c r="R2850" t="n">
        <v>0.05652</v>
      </c>
      <c r="S2850">
        <f>IMAGE("https://mitra.stanford.edu/kundaje/oak/projects/neuro-variants/variant_position/credible/roussos_2024/variant_figures/roussos_2024.childhood.Astrocyte/rs7635754_count_position.png",4,220,900)</f>
        <v/>
      </c>
      <c r="T2850">
        <f>IMAGE("https://mitra.stanford.edu/kundaje/oak/projects/neuro-variants/variant_position/credible/roussos_2024/variant_figures/roussos_2024.childhood.Astrocyte/rs7635754_profile_position.png",4,220,900)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-0.08225763480000001</v>
      </c>
      <c r="G2851" t="n">
        <v>0.0909781462429817</v>
      </c>
      <c r="H2851" t="n">
        <v>0.0219212017325013</v>
      </c>
      <c r="I2851" t="n">
        <v>0.0926037651994349</v>
      </c>
      <c r="J2851" t="n">
        <v>0.1352652026898093</v>
      </c>
      <c r="K2851" t="n">
        <v>0.2759743173433682</v>
      </c>
      <c r="L2851" t="b">
        <v>0</v>
      </c>
      <c r="M2851" t="b">
        <v>0</v>
      </c>
      <c r="N2851" t="inlineStr">
        <is>
          <t>ref</t>
        </is>
      </c>
      <c r="O2851" t="n">
        <v>-60</v>
      </c>
      <c r="P2851" t="n">
        <v>0.004333</v>
      </c>
      <c r="Q2851" t="n">
        <v>10</v>
      </c>
      <c r="R2851" t="n">
        <v>0.08495999999999999</v>
      </c>
      <c r="S2851">
        <f>IMAGE("https://mitra.stanford.edu/kundaje/oak/projects/neuro-variants/variant_position/credible/roussos_2024/variant_figures/roussos_2024.childhood.Astrocyte/rs4854998_count_position.png",4,220,900)</f>
        <v/>
      </c>
      <c r="T2851">
        <f>IMAGE("https://mitra.stanford.edu/kundaje/oak/projects/neuro-variants/variant_position/credible/roussos_2024/variant_figures/roussos_2024.childhood.Astrocyte/rs4854998_profile_position.png",4,220,900)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0.011280880188</v>
      </c>
      <c r="G2852" t="n">
        <v>0.6895972398739525</v>
      </c>
      <c r="H2852" t="n">
        <v>0.0134477366301203</v>
      </c>
      <c r="I2852" t="n">
        <v>0.3941266442480158</v>
      </c>
      <c r="J2852" t="n">
        <v>0.049234045476403</v>
      </c>
      <c r="K2852" t="n">
        <v>0.446739515605202</v>
      </c>
      <c r="L2852" t="b">
        <v>0</v>
      </c>
      <c r="M2852" t="b">
        <v>0</v>
      </c>
      <c r="N2852" t="inlineStr">
        <is>
          <t>alt</t>
        </is>
      </c>
      <c r="O2852" t="n">
        <v>40</v>
      </c>
      <c r="P2852" t="n">
        <v>0.01535</v>
      </c>
      <c r="Q2852" t="n">
        <v>55</v>
      </c>
      <c r="R2852" t="n">
        <v>0.08495999999999999</v>
      </c>
      <c r="S2852">
        <f>IMAGE("https://mitra.stanford.edu/kundaje/oak/projects/neuro-variants/variant_position/credible/roussos_2024/variant_figures/roussos_2024.childhood.Astrocyte/rs10490806_count_position.png",4,220,900)</f>
        <v/>
      </c>
      <c r="T2852">
        <f>IMAGE("https://mitra.stanford.edu/kundaje/oak/projects/neuro-variants/variant_position/credible/roussos_2024/variant_figures/roussos_2024.childhood.Astrocyte/rs10490806_profile_position.png",4,220,900)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-0.000225293352</v>
      </c>
      <c r="G2853" t="n">
        <v>0.9351935400581632</v>
      </c>
      <c r="H2853" t="n">
        <v>0.0329386351158194</v>
      </c>
      <c r="I2853" t="n">
        <v>0.0211585792264909</v>
      </c>
      <c r="J2853" t="n">
        <v>0.0029462725073083</v>
      </c>
      <c r="K2853" t="n">
        <v>0.8236462823229984</v>
      </c>
      <c r="L2853" t="b">
        <v>0</v>
      </c>
      <c r="M2853" t="b">
        <v>0</v>
      </c>
      <c r="N2853" t="inlineStr">
        <is>
          <t>ref</t>
        </is>
      </c>
      <c r="O2853" t="n">
        <v>-85</v>
      </c>
      <c r="P2853" t="n">
        <v>0.0083</v>
      </c>
      <c r="Q2853" t="n">
        <v>-100</v>
      </c>
      <c r="R2853" t="n">
        <v>0.1858</v>
      </c>
      <c r="S2853">
        <f>IMAGE("https://mitra.stanford.edu/kundaje/oak/projects/neuro-variants/variant_position/credible/roussos_2024/variant_figures/roussos_2024.childhood.Astrocyte/rs13083851_count_position.png",4,220,900)</f>
        <v/>
      </c>
      <c r="T2853">
        <f>IMAGE("https://mitra.stanford.edu/kundaje/oak/projects/neuro-variants/variant_position/credible/roussos_2024/variant_figures/roussos_2024.childhood.Astrocyte/rs13083851_profile_position.png",4,220,900)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0.008561883419999999</v>
      </c>
      <c r="G2854" t="n">
        <v>0.7537155526522906</v>
      </c>
      <c r="H2854" t="n">
        <v>0.0107580278991145</v>
      </c>
      <c r="I2854" t="n">
        <v>0.6354677447183894</v>
      </c>
      <c r="J2854" t="n">
        <v>0.0020990283406989</v>
      </c>
      <c r="K2854" t="n">
        <v>0.8677680372098949</v>
      </c>
      <c r="L2854" t="b">
        <v>0</v>
      </c>
      <c r="M2854" t="b">
        <v>0</v>
      </c>
      <c r="N2854" t="inlineStr">
        <is>
          <t>alt</t>
        </is>
      </c>
      <c r="O2854" t="n">
        <v>-85</v>
      </c>
      <c r="P2854" t="n">
        <v>0.00567</v>
      </c>
      <c r="Q2854" t="n">
        <v>-5</v>
      </c>
      <c r="R2854" t="n">
        <v>0.013535</v>
      </c>
      <c r="S2854">
        <f>IMAGE("https://mitra.stanford.edu/kundaje/oak/projects/neuro-variants/variant_position/credible/roussos_2024/variant_figures/roussos_2024.childhood.Astrocyte/rs12186104_count_position.png",4,220,900)</f>
        <v/>
      </c>
      <c r="T2854">
        <f>IMAGE("https://mitra.stanford.edu/kundaje/oak/projects/neuro-variants/variant_position/credible/roussos_2024/variant_figures/roussos_2024.childhood.Astrocyte/rs12186104_profile_position.png",4,220,900)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-0.0315446524</v>
      </c>
      <c r="G2855" t="n">
        <v>0.3825368561128175</v>
      </c>
      <c r="H2855" t="n">
        <v>0.0204428194736588</v>
      </c>
      <c r="I2855" t="n">
        <v>0.1171630004265532</v>
      </c>
      <c r="J2855" t="n">
        <v>0.0771740208986893</v>
      </c>
      <c r="K2855" t="n">
        <v>0.3694492257256137</v>
      </c>
      <c r="L2855" t="b">
        <v>0</v>
      </c>
      <c r="M2855" t="b">
        <v>0</v>
      </c>
      <c r="N2855" t="inlineStr">
        <is>
          <t>ref</t>
        </is>
      </c>
      <c r="O2855" t="n">
        <v>-100</v>
      </c>
      <c r="P2855" t="n">
        <v>0.003601</v>
      </c>
      <c r="Q2855" t="n">
        <v>5</v>
      </c>
      <c r="R2855" t="n">
        <v>0.01181</v>
      </c>
      <c r="S2855">
        <f>IMAGE("https://mitra.stanford.edu/kundaje/oak/projects/neuro-variants/variant_position/credible/roussos_2024/variant_figures/roussos_2024.childhood.Astrocyte/rs6777005_count_position.png",4,220,900)</f>
        <v/>
      </c>
      <c r="T2855">
        <f>IMAGE("https://mitra.stanford.edu/kundaje/oak/projects/neuro-variants/variant_position/credible/roussos_2024/variant_figures/roussos_2024.childhood.Astrocyte/rs6777005_profile_position.png",4,220,900)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0.01939931268</v>
      </c>
      <c r="G2856" t="n">
        <v>0.5147431416240363</v>
      </c>
      <c r="H2856" t="n">
        <v>0.0138334471568612</v>
      </c>
      <c r="I2856" t="n">
        <v>0.3690245221156507</v>
      </c>
      <c r="J2856" t="n">
        <v>0.0114629845893155</v>
      </c>
      <c r="K2856" t="n">
        <v>0.6829842956325634</v>
      </c>
      <c r="L2856" t="b">
        <v>0</v>
      </c>
      <c r="M2856" t="b">
        <v>0</v>
      </c>
      <c r="N2856" t="inlineStr">
        <is>
          <t>alt</t>
        </is>
      </c>
      <c r="O2856" t="n">
        <v>-100</v>
      </c>
      <c r="P2856" t="n">
        <v>0.00351</v>
      </c>
      <c r="Q2856" t="n">
        <v>-100</v>
      </c>
      <c r="R2856" t="n">
        <v>0.0453</v>
      </c>
      <c r="S2856">
        <f>IMAGE("https://mitra.stanford.edu/kundaje/oak/projects/neuro-variants/variant_position/credible/roussos_2024/variant_figures/roussos_2024.childhood.Astrocyte/rs62291437_count_position.png",4,220,900)</f>
        <v/>
      </c>
      <c r="T2856">
        <f>IMAGE("https://mitra.stanford.edu/kundaje/oak/projects/neuro-variants/variant_position/credible/roussos_2024/variant_figures/roussos_2024.childhood.Astrocyte/rs62291437_profile_position.png",4,220,900)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0.0687551894</v>
      </c>
      <c r="G2857" t="n">
        <v>0.1401348063045354</v>
      </c>
      <c r="H2857" t="n">
        <v>0.0156085421173495</v>
      </c>
      <c r="I2857" t="n">
        <v>0.2734852470408061</v>
      </c>
      <c r="J2857" t="n">
        <v>0.008569378611282799</v>
      </c>
      <c r="K2857" t="n">
        <v>0.7058255878469668</v>
      </c>
      <c r="L2857" t="b">
        <v>0</v>
      </c>
      <c r="M2857" t="b">
        <v>0</v>
      </c>
      <c r="N2857" t="inlineStr">
        <is>
          <t>alt</t>
        </is>
      </c>
      <c r="O2857" t="n">
        <v>100</v>
      </c>
      <c r="P2857" t="n">
        <v>0.007645</v>
      </c>
      <c r="Q2857" t="n">
        <v>55</v>
      </c>
      <c r="R2857" t="n">
        <v>0.005764</v>
      </c>
      <c r="S2857">
        <f>IMAGE("https://mitra.stanford.edu/kundaje/oak/projects/neuro-variants/variant_position/credible/roussos_2024/variant_figures/roussos_2024.childhood.Astrocyte/rs11705702_count_position.png",4,220,900)</f>
        <v/>
      </c>
      <c r="T2857">
        <f>IMAGE("https://mitra.stanford.edu/kundaje/oak/projects/neuro-variants/variant_position/credible/roussos_2024/variant_figures/roussos_2024.childhood.Astrocyte/rs11705702_profile_position.png",4,220,900)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-0.0110068131999999</v>
      </c>
      <c r="G2858" t="n">
        <v>0.7157961045530419</v>
      </c>
      <c r="H2858" t="n">
        <v>0.0306133375502484</v>
      </c>
      <c r="I2858" t="n">
        <v>0.0274126730458742</v>
      </c>
      <c r="J2858" t="n">
        <v>0.0042408005312449</v>
      </c>
      <c r="K2858" t="n">
        <v>0.7990566191094334</v>
      </c>
      <c r="L2858" t="b">
        <v>0</v>
      </c>
      <c r="M2858" t="b">
        <v>0</v>
      </c>
      <c r="N2858" t="inlineStr">
        <is>
          <t>ref</t>
        </is>
      </c>
      <c r="O2858" t="n">
        <v>95</v>
      </c>
      <c r="P2858" t="n">
        <v>0.0094</v>
      </c>
      <c r="Q2858" t="n">
        <v>-75</v>
      </c>
      <c r="R2858" t="n">
        <v>0.1409</v>
      </c>
      <c r="S2858">
        <f>IMAGE("https://mitra.stanford.edu/kundaje/oak/projects/neuro-variants/variant_position/credible/roussos_2024/variant_figures/roussos_2024.childhood.Astrocyte/rs71312200_count_position.png",4,220,900)</f>
        <v/>
      </c>
      <c r="T2858">
        <f>IMAGE("https://mitra.stanford.edu/kundaje/oak/projects/neuro-variants/variant_position/credible/roussos_2024/variant_figures/roussos_2024.childhood.Astrocyte/rs71312200_profile_position.png",4,220,900)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-0.0015501773999999</v>
      </c>
      <c r="G2859" t="n">
        <v>0.5809141103501068</v>
      </c>
      <c r="H2859" t="n">
        <v>0.0300647072337906</v>
      </c>
      <c r="I2859" t="n">
        <v>0.0299565582706346</v>
      </c>
      <c r="J2859" t="n">
        <v>0.1365734698083396</v>
      </c>
      <c r="K2859" t="n">
        <v>0.2682075992715587</v>
      </c>
      <c r="L2859" t="b">
        <v>0</v>
      </c>
      <c r="M2859" t="b">
        <v>0</v>
      </c>
      <c r="N2859" t="inlineStr">
        <is>
          <t>ref</t>
        </is>
      </c>
      <c r="O2859" t="n">
        <v>-50</v>
      </c>
      <c r="P2859" t="n">
        <v>0.01062</v>
      </c>
      <c r="Q2859" t="n">
        <v>-45</v>
      </c>
      <c r="R2859" t="n">
        <v>0.1309</v>
      </c>
      <c r="S2859">
        <f>IMAGE("https://mitra.stanford.edu/kundaje/oak/projects/neuro-variants/variant_position/credible/roussos_2024/variant_figures/roussos_2024.childhood.Astrocyte/rs34293605_count_position.png",4,220,900)</f>
        <v/>
      </c>
      <c r="T2859">
        <f>IMAGE("https://mitra.stanford.edu/kundaje/oak/projects/neuro-variants/variant_position/credible/roussos_2024/variant_figures/roussos_2024.childhood.Astrocyte/rs34293605_profile_position.png",4,220,900)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-0.163470436</v>
      </c>
      <c r="G2860" t="n">
        <v>0.0262596088227968</v>
      </c>
      <c r="H2860" t="n">
        <v>0.0299741970663889</v>
      </c>
      <c r="I2860" t="n">
        <v>0.032653700665183</v>
      </c>
      <c r="J2860" t="n">
        <v>0.0349316480043964</v>
      </c>
      <c r="K2860" t="n">
        <v>0.5374068719959514</v>
      </c>
      <c r="L2860" t="b">
        <v>0</v>
      </c>
      <c r="M2860" t="b">
        <v>0</v>
      </c>
      <c r="N2860" t="inlineStr">
        <is>
          <t>ref</t>
        </is>
      </c>
      <c r="O2860" t="n">
        <v>-25</v>
      </c>
      <c r="P2860" t="n">
        <v>0.02074</v>
      </c>
      <c r="Q2860" t="n">
        <v>35</v>
      </c>
      <c r="R2860" t="n">
        <v>0.07190000000000001</v>
      </c>
      <c r="S2860">
        <f>IMAGE("https://mitra.stanford.edu/kundaje/oak/projects/neuro-variants/variant_position/credible/roussos_2024/variant_figures/roussos_2024.childhood.Astrocyte/rs62289571_count_position.png",4,220,900)</f>
        <v/>
      </c>
      <c r="T2860">
        <f>IMAGE("https://mitra.stanford.edu/kundaje/oak/projects/neuro-variants/variant_position/credible/roussos_2024/variant_figures/roussos_2024.childhood.Astrocyte/rs62289571_profile_position.png",4,220,900)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-0.1446421028</v>
      </c>
      <c r="G2861" t="n">
        <v>0.0421850856337724</v>
      </c>
      <c r="H2861" t="n">
        <v>0.0386174095836755</v>
      </c>
      <c r="I2861" t="n">
        <v>0.0118034592545647</v>
      </c>
      <c r="J2861" t="n">
        <v>0.032850175173456</v>
      </c>
      <c r="K2861" t="n">
        <v>0.5174267494880037</v>
      </c>
      <c r="L2861" t="b">
        <v>1</v>
      </c>
      <c r="M2861" t="b">
        <v>0</v>
      </c>
      <c r="N2861" t="inlineStr">
        <is>
          <t>ref</t>
        </is>
      </c>
      <c r="O2861" t="n">
        <v>35</v>
      </c>
      <c r="P2861" t="n">
        <v>0.04544</v>
      </c>
      <c r="Q2861" t="n">
        <v>50</v>
      </c>
      <c r="R2861" t="n">
        <v>0.1697</v>
      </c>
      <c r="S2861">
        <f>IMAGE("https://mitra.stanford.edu/kundaje/oak/projects/neuro-variants/variant_position/credible/roussos_2024/variant_figures/roussos_2024.childhood.Astrocyte/rs13060352_count_position.png",4,220,900)</f>
        <v/>
      </c>
      <c r="T2861">
        <f>IMAGE("https://mitra.stanford.edu/kundaje/oak/projects/neuro-variants/variant_position/credible/roussos_2024/variant_figures/roussos_2024.childhood.Astrocyte/rs13060352_profile_position.png",4,220,900)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-0.0147759387</v>
      </c>
      <c r="G2862" t="n">
        <v>0.4820784615367127</v>
      </c>
      <c r="H2862" t="n">
        <v>0.0189281397318907</v>
      </c>
      <c r="I2862" t="n">
        <v>0.1522707030836051</v>
      </c>
      <c r="J2862" t="n">
        <v>0.224821964232557</v>
      </c>
      <c r="K2862" t="n">
        <v>0.1814287872677193</v>
      </c>
      <c r="L2862" t="b">
        <v>0</v>
      </c>
      <c r="M2862" t="b">
        <v>0</v>
      </c>
      <c r="N2862" t="inlineStr">
        <is>
          <t>ref</t>
        </is>
      </c>
      <c r="O2862" t="n">
        <v>100</v>
      </c>
      <c r="P2862" t="n">
        <v>0.02118</v>
      </c>
      <c r="Q2862" t="n">
        <v>-50</v>
      </c>
      <c r="R2862" t="n">
        <v>0.109</v>
      </c>
      <c r="S2862">
        <f>IMAGE("https://mitra.stanford.edu/kundaje/oak/projects/neuro-variants/variant_position/credible/roussos_2024/variant_figures/roussos_2024.childhood.Astrocyte/rs1001416_count_position.png",4,220,900)</f>
        <v/>
      </c>
      <c r="T2862">
        <f>IMAGE("https://mitra.stanford.edu/kundaje/oak/projects/neuro-variants/variant_position/credible/roussos_2024/variant_figures/roussos_2024.childhood.Astrocyte/rs1001416_profile_position.png",4,220,900)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-0.08836094880000001</v>
      </c>
      <c r="G2863" t="n">
        <v>0.0991324875734772</v>
      </c>
      <c r="H2863" t="n">
        <v>0.0154533338428682</v>
      </c>
      <c r="I2863" t="n">
        <v>0.2744354946276656</v>
      </c>
      <c r="J2863" t="n">
        <v>0.0676909924969277</v>
      </c>
      <c r="K2863" t="n">
        <v>0.3936499813712511</v>
      </c>
      <c r="L2863" t="b">
        <v>0</v>
      </c>
      <c r="M2863" t="b">
        <v>0</v>
      </c>
      <c r="N2863" t="inlineStr">
        <is>
          <t>ref</t>
        </is>
      </c>
      <c r="O2863" t="n">
        <v>100</v>
      </c>
      <c r="P2863" t="n">
        <v>0.00876</v>
      </c>
      <c r="Q2863" t="n">
        <v>-65</v>
      </c>
      <c r="R2863" t="n">
        <v>0.07227</v>
      </c>
      <c r="S2863">
        <f>IMAGE("https://mitra.stanford.edu/kundaje/oak/projects/neuro-variants/variant_position/credible/roussos_2024/variant_figures/roussos_2024.childhood.Astrocyte/rs6775889_count_position.png",4,220,900)</f>
        <v/>
      </c>
      <c r="T2863">
        <f>IMAGE("https://mitra.stanford.edu/kundaje/oak/projects/neuro-variants/variant_position/credible/roussos_2024/variant_figures/roussos_2024.childhood.Astrocyte/rs6775889_profile_position.png",4,220,900)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0.0045055591</v>
      </c>
      <c r="G2864" t="n">
        <v>0.4628830583715662</v>
      </c>
      <c r="H2864" t="n">
        <v>0.0170175669173372</v>
      </c>
      <c r="I2864" t="n">
        <v>0.2064526104001715</v>
      </c>
      <c r="J2864" t="n">
        <v>0.006706968010808</v>
      </c>
      <c r="K2864" t="n">
        <v>0.7393134775919326</v>
      </c>
      <c r="L2864" t="b">
        <v>0</v>
      </c>
      <c r="M2864" t="b">
        <v>0</v>
      </c>
      <c r="N2864" t="inlineStr">
        <is>
          <t>alt</t>
        </is>
      </c>
      <c r="O2864" t="n">
        <v>15</v>
      </c>
      <c r="P2864" t="n">
        <v>0.0004349</v>
      </c>
      <c r="Q2864" t="n">
        <v>45</v>
      </c>
      <c r="R2864" t="n">
        <v>0.02519</v>
      </c>
      <c r="S2864">
        <f>IMAGE("https://mitra.stanford.edu/kundaje/oak/projects/neuro-variants/variant_position/credible/roussos_2024/variant_figures/roussos_2024.childhood.Astrocyte/rs12635178_count_position.png",4,220,900)</f>
        <v/>
      </c>
      <c r="T2864">
        <f>IMAGE("https://mitra.stanford.edu/kundaje/oak/projects/neuro-variants/variant_position/credible/roussos_2024/variant_figures/roussos_2024.childhood.Astrocyte/rs12635178_profile_position.png",4,220,900)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-0.0097547809399999</v>
      </c>
      <c r="G2865" t="n">
        <v>0.7341166564248076</v>
      </c>
      <c r="H2865" t="n">
        <v>0.0356931048423132</v>
      </c>
      <c r="I2865" t="n">
        <v>0.0154958810543866</v>
      </c>
      <c r="J2865" t="n">
        <v>0.0025661575568836</v>
      </c>
      <c r="K2865" t="n">
        <v>0.8400730122709453</v>
      </c>
      <c r="L2865" t="b">
        <v>0</v>
      </c>
      <c r="M2865" t="b">
        <v>0</v>
      </c>
      <c r="N2865" t="inlineStr">
        <is>
          <t>ref</t>
        </is>
      </c>
      <c r="O2865" t="n">
        <v>-45</v>
      </c>
      <c r="P2865" t="n">
        <v>0.001846</v>
      </c>
      <c r="Q2865" t="n">
        <v>100</v>
      </c>
      <c r="R2865" t="n">
        <v>0.04352</v>
      </c>
      <c r="S2865">
        <f>IMAGE("https://mitra.stanford.edu/kundaje/oak/projects/neuro-variants/variant_position/credible/roussos_2024/variant_figures/roussos_2024.childhood.Astrocyte/rs1968217_count_position.png",4,220,900)</f>
        <v/>
      </c>
      <c r="T2865">
        <f>IMAGE("https://mitra.stanford.edu/kundaje/oak/projects/neuro-variants/variant_position/credible/roussos_2024/variant_figures/roussos_2024.childhood.Astrocyte/rs1968217_profile_position.png",4,220,900)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-0.00757216588</v>
      </c>
      <c r="G2866" t="n">
        <v>0.4930253901470075</v>
      </c>
      <c r="H2866" t="n">
        <v>0.0147002155748048</v>
      </c>
      <c r="I2866" t="n">
        <v>0.3121838754205554</v>
      </c>
      <c r="J2866" t="n">
        <v>0.1062245731339637</v>
      </c>
      <c r="K2866" t="n">
        <v>0.3141979478281065</v>
      </c>
      <c r="L2866" t="b">
        <v>0</v>
      </c>
      <c r="M2866" t="b">
        <v>0</v>
      </c>
      <c r="N2866" t="inlineStr">
        <is>
          <t>ref</t>
        </is>
      </c>
      <c r="O2866" t="n">
        <v>-25</v>
      </c>
      <c r="P2866" t="n">
        <v>0.0046</v>
      </c>
      <c r="Q2866" t="n">
        <v>-40</v>
      </c>
      <c r="R2866" t="n">
        <v>0.04968</v>
      </c>
      <c r="S2866">
        <f>IMAGE("https://mitra.stanford.edu/kundaje/oak/projects/neuro-variants/variant_position/credible/roussos_2024/variant_figures/roussos_2024.childhood.Astrocyte/rs2543163_count_position.png",4,220,900)</f>
        <v/>
      </c>
      <c r="T2866">
        <f>IMAGE("https://mitra.stanford.edu/kundaje/oak/projects/neuro-variants/variant_position/credible/roussos_2024/variant_figures/roussos_2024.childhood.Astrocyte/rs2543163_profile_position.png",4,220,900)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-0.0399460706</v>
      </c>
      <c r="G2867" t="n">
        <v>0.2964826962713474</v>
      </c>
      <c r="H2867" t="n">
        <v>0.0116498100023419</v>
      </c>
      <c r="I2867" t="n">
        <v>0.529845897140895</v>
      </c>
      <c r="J2867" t="n">
        <v>0.000778548693641</v>
      </c>
      <c r="K2867" t="n">
        <v>0.9403037595003252</v>
      </c>
      <c r="L2867" t="b">
        <v>0</v>
      </c>
      <c r="M2867" t="b">
        <v>0</v>
      </c>
      <c r="N2867" t="inlineStr">
        <is>
          <t>ref</t>
        </is>
      </c>
      <c r="O2867" t="n">
        <v>-5</v>
      </c>
      <c r="P2867" t="n">
        <v>0.001312</v>
      </c>
      <c r="Q2867" t="n">
        <v>-90</v>
      </c>
      <c r="R2867" t="n">
        <v>0.1222</v>
      </c>
      <c r="S2867">
        <f>IMAGE("https://mitra.stanford.edu/kundaje/oak/projects/neuro-variants/variant_position/credible/roussos_2024/variant_figures/roussos_2024.childhood.Astrocyte/rs34718862_count_position.png",4,220,900)</f>
        <v/>
      </c>
      <c r="T2867">
        <f>IMAGE("https://mitra.stanford.edu/kundaje/oak/projects/neuro-variants/variant_position/credible/roussos_2024/variant_figures/roussos_2024.childhood.Astrocyte/rs34718862_profile_position.png",4,220,900)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-0.0012245921</v>
      </c>
      <c r="G2868" t="n">
        <v>0.7734140131234688</v>
      </c>
      <c r="H2868" t="n">
        <v>0.0313018249176997</v>
      </c>
      <c r="I2868" t="n">
        <v>0.0252922627184721</v>
      </c>
      <c r="J2868" t="n">
        <v>0.0005869646523627</v>
      </c>
      <c r="K2868" t="n">
        <v>0.932248098133004</v>
      </c>
      <c r="L2868" t="b">
        <v>0</v>
      </c>
      <c r="M2868" t="b">
        <v>0</v>
      </c>
      <c r="N2868" t="inlineStr">
        <is>
          <t>ref</t>
        </is>
      </c>
      <c r="O2868" t="n">
        <v>-25</v>
      </c>
      <c r="P2868" t="n">
        <v>0.005493</v>
      </c>
      <c r="Q2868" t="n">
        <v>-70</v>
      </c>
      <c r="R2868" t="n">
        <v>0.1001</v>
      </c>
      <c r="S2868">
        <f>IMAGE("https://mitra.stanford.edu/kundaje/oak/projects/neuro-variants/variant_position/credible/roussos_2024/variant_figures/roussos_2024.childhood.Astrocyte/rs4456860_count_position.png",4,220,900)</f>
        <v/>
      </c>
      <c r="T2868">
        <f>IMAGE("https://mitra.stanford.edu/kundaje/oak/projects/neuro-variants/variant_position/credible/roussos_2024/variant_figures/roussos_2024.childhood.Astrocyte/rs4456860_profile_position.png",4,220,900)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0.1228631499999999</v>
      </c>
      <c r="G2869" t="n">
        <v>0.0459912646166919</v>
      </c>
      <c r="H2869" t="n">
        <v>0.0191396441538904</v>
      </c>
      <c r="I2869" t="n">
        <v>0.1481306157754867</v>
      </c>
      <c r="J2869" t="n">
        <v>0.0169090090296382</v>
      </c>
      <c r="K2869" t="n">
        <v>0.6211327675448027</v>
      </c>
      <c r="L2869" t="b">
        <v>0</v>
      </c>
      <c r="M2869" t="b">
        <v>0</v>
      </c>
      <c r="N2869" t="inlineStr">
        <is>
          <t>alt</t>
        </is>
      </c>
      <c r="O2869" t="n">
        <v>-60</v>
      </c>
      <c r="P2869" t="n">
        <v>0.00467</v>
      </c>
      <c r="Q2869" t="n">
        <v>-85</v>
      </c>
      <c r="R2869" t="n">
        <v>0.181</v>
      </c>
      <c r="S2869">
        <f>IMAGE("https://mitra.stanford.edu/kundaje/oak/projects/neuro-variants/variant_position/credible/roussos_2024/variant_figures/roussos_2024.childhood.Astrocyte/rs13075474_count_position.png",4,220,900)</f>
        <v/>
      </c>
      <c r="T2869">
        <f>IMAGE("https://mitra.stanford.edu/kundaje/oak/projects/neuro-variants/variant_position/credible/roussos_2024/variant_figures/roussos_2024.childhood.Astrocyte/rs13075474_profile_position.png",4,220,900)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-0.0328698968</v>
      </c>
      <c r="G2870" t="n">
        <v>0.3595272469234584</v>
      </c>
      <c r="H2870" t="n">
        <v>0.0134899460193228</v>
      </c>
      <c r="I2870" t="n">
        <v>0.3962889080334617</v>
      </c>
      <c r="J2870" t="n">
        <v>0.0035859036889468</v>
      </c>
      <c r="K2870" t="n">
        <v>0.8104606085754261</v>
      </c>
      <c r="L2870" t="b">
        <v>0</v>
      </c>
      <c r="M2870" t="b">
        <v>0</v>
      </c>
      <c r="N2870" t="inlineStr">
        <is>
          <t>ref</t>
        </is>
      </c>
      <c r="O2870" t="n">
        <v>75</v>
      </c>
      <c r="P2870" t="n">
        <v>0.003588</v>
      </c>
      <c r="Q2870" t="n">
        <v>75</v>
      </c>
      <c r="R2870" t="n">
        <v>0.04782</v>
      </c>
      <c r="S2870">
        <f>IMAGE("https://mitra.stanford.edu/kundaje/oak/projects/neuro-variants/variant_position/credible/roussos_2024/variant_figures/roussos_2024.childhood.Astrocyte/rs13077643_count_position.png",4,220,900)</f>
        <v/>
      </c>
      <c r="T2870">
        <f>IMAGE("https://mitra.stanford.edu/kundaje/oak/projects/neuro-variants/variant_position/credible/roussos_2024/variant_figures/roussos_2024.childhood.Astrocyte/rs13077643_profile_position.png",4,220,900)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-0.008047603089999999</v>
      </c>
      <c r="G2871" t="n">
        <v>0.7698687092245328</v>
      </c>
      <c r="H2871" t="n">
        <v>0.0282040302195352</v>
      </c>
      <c r="I2871" t="n">
        <v>0.0382133918813597</v>
      </c>
      <c r="J2871" t="n">
        <v>0.0175730652683321</v>
      </c>
      <c r="K2871" t="n">
        <v>0.6134326586690743</v>
      </c>
      <c r="L2871" t="b">
        <v>0</v>
      </c>
      <c r="M2871" t="b">
        <v>0</v>
      </c>
      <c r="N2871" t="inlineStr">
        <is>
          <t>ref</t>
        </is>
      </c>
      <c r="O2871" t="n">
        <v>65</v>
      </c>
      <c r="P2871" t="n">
        <v>0.003418</v>
      </c>
      <c r="Q2871" t="n">
        <v>80</v>
      </c>
      <c r="R2871" t="n">
        <v>0.1576</v>
      </c>
      <c r="S2871">
        <f>IMAGE("https://mitra.stanford.edu/kundaje/oak/projects/neuro-variants/variant_position/credible/roussos_2024/variant_figures/roussos_2024.childhood.Astrocyte/rs13071279_count_position.png",4,220,900)</f>
        <v/>
      </c>
      <c r="T2871">
        <f>IMAGE("https://mitra.stanford.edu/kundaje/oak/projects/neuro-variants/variant_position/credible/roussos_2024/variant_figures/roussos_2024.childhood.Astrocyte/rs13071279_profile_position.png",4,220,900)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0.0161941262</v>
      </c>
      <c r="G2872" t="n">
        <v>0.5856737087355856</v>
      </c>
      <c r="H2872" t="n">
        <v>0.0251689697177278</v>
      </c>
      <c r="I2872" t="n">
        <v>0.0575066400481302</v>
      </c>
      <c r="J2872" t="n">
        <v>0.0570813583384854</v>
      </c>
      <c r="K2872" t="n">
        <v>0.4254660049822908</v>
      </c>
      <c r="L2872" t="b">
        <v>0</v>
      </c>
      <c r="M2872" t="b">
        <v>0</v>
      </c>
      <c r="N2872" t="inlineStr">
        <is>
          <t>alt</t>
        </is>
      </c>
      <c r="O2872" t="n">
        <v>-100</v>
      </c>
      <c r="P2872" t="n">
        <v>0.001801</v>
      </c>
      <c r="Q2872" t="n">
        <v>5</v>
      </c>
      <c r="R2872" t="n">
        <v>0.008789999999999999</v>
      </c>
      <c r="S2872">
        <f>IMAGE("https://mitra.stanford.edu/kundaje/oak/projects/neuro-variants/variant_position/credible/roussos_2024/variant_figures/roussos_2024.childhood.Astrocyte/rs13092432_count_position.png",4,220,900)</f>
        <v/>
      </c>
      <c r="T2872">
        <f>IMAGE("https://mitra.stanford.edu/kundaje/oak/projects/neuro-variants/variant_position/credible/roussos_2024/variant_figures/roussos_2024.childhood.Astrocyte/rs13092432_profile_position.png",4,220,900)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0.142297122</v>
      </c>
      <c r="G2873" t="n">
        <v>0.0362368769917286</v>
      </c>
      <c r="H2873" t="n">
        <v>0.06982899425197341</v>
      </c>
      <c r="I2873" t="n">
        <v>0.0012730517172858</v>
      </c>
      <c r="J2873" t="n">
        <v>0.0619228626166868</v>
      </c>
      <c r="K2873" t="n">
        <v>0.4102244004743985</v>
      </c>
      <c r="L2873" t="b">
        <v>1</v>
      </c>
      <c r="M2873" t="b">
        <v>1</v>
      </c>
      <c r="N2873" t="inlineStr">
        <is>
          <t>alt</t>
        </is>
      </c>
      <c r="O2873" t="n">
        <v>-40</v>
      </c>
      <c r="P2873" t="n">
        <v>0.001938</v>
      </c>
      <c r="Q2873" t="n">
        <v>100</v>
      </c>
      <c r="R2873" t="n">
        <v>0.2439</v>
      </c>
      <c r="S2873">
        <f>IMAGE("https://mitra.stanford.edu/kundaje/oak/projects/neuro-variants/variant_position/credible/roussos_2024/variant_figures/roussos_2024.childhood.Astrocyte/rs12633623_count_position.png",4,220,900)</f>
        <v/>
      </c>
      <c r="T2873">
        <f>IMAGE("https://mitra.stanford.edu/kundaje/oak/projects/neuro-variants/variant_position/credible/roussos_2024/variant_figures/roussos_2024.childhood.Astrocyte/rs12633623_profile_position.png",4,220,900)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-0.00979539628</v>
      </c>
      <c r="G2874" t="n">
        <v>0.746254154740648</v>
      </c>
      <c r="H2874" t="n">
        <v>0.0488678897839667</v>
      </c>
      <c r="I2874" t="n">
        <v>0.0043595418514322</v>
      </c>
      <c r="J2874" t="n">
        <v>0.0018547777701449</v>
      </c>
      <c r="K2874" t="n">
        <v>0.8694860803480672</v>
      </c>
      <c r="L2874" t="b">
        <v>0</v>
      </c>
      <c r="M2874" t="b">
        <v>0</v>
      </c>
      <c r="N2874" t="inlineStr">
        <is>
          <t>ref</t>
        </is>
      </c>
      <c r="O2874" t="n">
        <v>50</v>
      </c>
      <c r="P2874" t="n">
        <v>0.003662</v>
      </c>
      <c r="Q2874" t="n">
        <v>-100</v>
      </c>
      <c r="R2874" t="n">
        <v>0.151</v>
      </c>
      <c r="S2874">
        <f>IMAGE("https://mitra.stanford.edu/kundaje/oak/projects/neuro-variants/variant_position/credible/roussos_2024/variant_figures/roussos_2024.childhood.Astrocyte/rs74284696_count_position.png",4,220,900)</f>
        <v/>
      </c>
      <c r="T2874">
        <f>IMAGE("https://mitra.stanford.edu/kundaje/oak/projects/neuro-variants/variant_position/credible/roussos_2024/variant_figures/roussos_2024.childhood.Astrocyte/rs74284696_profile_position.png",4,220,900)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-0.058123918</v>
      </c>
      <c r="G2875" t="n">
        <v>0.1802499184966703</v>
      </c>
      <c r="H2875" t="n">
        <v>0.0108594712637515</v>
      </c>
      <c r="I2875" t="n">
        <v>0.6321449823653105</v>
      </c>
      <c r="J2875" t="n">
        <v>0.0022814529855815</v>
      </c>
      <c r="K2875" t="n">
        <v>0.8602204348733391</v>
      </c>
      <c r="L2875" t="b">
        <v>0</v>
      </c>
      <c r="M2875" t="b">
        <v>0</v>
      </c>
      <c r="N2875" t="inlineStr">
        <is>
          <t>ref</t>
        </is>
      </c>
      <c r="O2875" t="n">
        <v>-60</v>
      </c>
      <c r="P2875" t="n">
        <v>0.00338</v>
      </c>
      <c r="Q2875" t="n">
        <v>10</v>
      </c>
      <c r="R2875" t="n">
        <v>0.036</v>
      </c>
      <c r="S2875">
        <f>IMAGE("https://mitra.stanford.edu/kundaje/oak/projects/neuro-variants/variant_position/credible/roussos_2024/variant_figures/roussos_2024.childhood.Astrocyte/rs141717445_count_position.png",4,220,900)</f>
        <v/>
      </c>
      <c r="T2875">
        <f>IMAGE("https://mitra.stanford.edu/kundaje/oak/projects/neuro-variants/variant_position/credible/roussos_2024/variant_figures/roussos_2024.childhood.Astrocyte/rs141717445_profile_position.png",4,220,900)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-0.0562912114</v>
      </c>
      <c r="G2876" t="n">
        <v>0.1869010476816487</v>
      </c>
      <c r="H2876" t="n">
        <v>0.0144375587212935</v>
      </c>
      <c r="I2876" t="n">
        <v>0.3319803530076317</v>
      </c>
      <c r="J2876" t="n">
        <v>0.1244884095471441</v>
      </c>
      <c r="K2876" t="n">
        <v>0.2880348074185037</v>
      </c>
      <c r="L2876" t="b">
        <v>0</v>
      </c>
      <c r="M2876" t="b">
        <v>0</v>
      </c>
      <c r="N2876" t="inlineStr">
        <is>
          <t>ref</t>
        </is>
      </c>
      <c r="O2876" t="n">
        <v>-100</v>
      </c>
      <c r="P2876" t="n">
        <v>0.005234</v>
      </c>
      <c r="Q2876" t="n">
        <v>-100</v>
      </c>
      <c r="R2876" t="n">
        <v>0.10986</v>
      </c>
      <c r="S2876">
        <f>IMAGE("https://mitra.stanford.edu/kundaje/oak/projects/neuro-variants/variant_position/credible/roussos_2024/variant_figures/roussos_2024.childhood.Astrocyte/rs13081180_count_position.png",4,220,900)</f>
        <v/>
      </c>
      <c r="T2876">
        <f>IMAGE("https://mitra.stanford.edu/kundaje/oak/projects/neuro-variants/variant_position/credible/roussos_2024/variant_figures/roussos_2024.childhood.Astrocyte/rs13081180_profile_position.png",4,220,900)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0.0513229844</v>
      </c>
      <c r="G2877" t="n">
        <v>0.2061142774748262</v>
      </c>
      <c r="H2877" t="n">
        <v>0.013045355572755</v>
      </c>
      <c r="I2877" t="n">
        <v>0.4288355814269318</v>
      </c>
      <c r="J2877" t="n">
        <v>0.0024470854037385</v>
      </c>
      <c r="K2877" t="n">
        <v>0.8494706068021523</v>
      </c>
      <c r="L2877" t="b">
        <v>0</v>
      </c>
      <c r="M2877" t="b">
        <v>0</v>
      </c>
      <c r="N2877" t="inlineStr">
        <is>
          <t>alt</t>
        </is>
      </c>
      <c r="O2877" t="n">
        <v>-100</v>
      </c>
      <c r="P2877" t="n">
        <v>0.004154</v>
      </c>
      <c r="Q2877" t="n">
        <v>-90</v>
      </c>
      <c r="R2877" t="n">
        <v>0.06836</v>
      </c>
      <c r="S2877">
        <f>IMAGE("https://mitra.stanford.edu/kundaje/oak/projects/neuro-variants/variant_position/credible/roussos_2024/variant_figures/roussos_2024.childhood.Astrocyte/rs10937056_count_position.png",4,220,900)</f>
        <v/>
      </c>
      <c r="T2877">
        <f>IMAGE("https://mitra.stanford.edu/kundaje/oak/projects/neuro-variants/variant_position/credible/roussos_2024/variant_figures/roussos_2024.childhood.Astrocyte/rs10937056_profile_position.png",4,220,900)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0.014055297</v>
      </c>
      <c r="G2878" t="n">
        <v>0.6410603314599838</v>
      </c>
      <c r="H2878" t="n">
        <v>0.0149174680414557</v>
      </c>
      <c r="I2878" t="n">
        <v>0.3023257732183294</v>
      </c>
      <c r="J2878" t="n">
        <v>0.0106561944234541</v>
      </c>
      <c r="K2878" t="n">
        <v>0.6802123764350461</v>
      </c>
      <c r="L2878" t="b">
        <v>0</v>
      </c>
      <c r="M2878" t="b">
        <v>0</v>
      </c>
      <c r="N2878" t="inlineStr">
        <is>
          <t>alt</t>
        </is>
      </c>
      <c r="O2878" t="n">
        <v>100</v>
      </c>
      <c r="P2878" t="n">
        <v>0.007324</v>
      </c>
      <c r="Q2878" t="n">
        <v>65</v>
      </c>
      <c r="R2878" t="n">
        <v>0.08984</v>
      </c>
      <c r="S2878">
        <f>IMAGE("https://mitra.stanford.edu/kundaje/oak/projects/neuro-variants/variant_position/credible/roussos_2024/variant_figures/roussos_2024.childhood.Astrocyte/rs9816542_count_position.png",4,220,900)</f>
        <v/>
      </c>
      <c r="T2878">
        <f>IMAGE("https://mitra.stanford.edu/kundaje/oak/projects/neuro-variants/variant_position/credible/roussos_2024/variant_figures/roussos_2024.childhood.Astrocyte/rs9816542_profile_position.png",4,220,900)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0.0294507316</v>
      </c>
      <c r="G2879" t="n">
        <v>0.3892916357484023</v>
      </c>
      <c r="H2879" t="n">
        <v>0.0303145031231298</v>
      </c>
      <c r="I2879" t="n">
        <v>0.0286835178804935</v>
      </c>
      <c r="J2879" t="n">
        <v>0.07756176867944389</v>
      </c>
      <c r="K2879" t="n">
        <v>0.3727068101410346</v>
      </c>
      <c r="L2879" t="b">
        <v>0</v>
      </c>
      <c r="M2879" t="b">
        <v>0</v>
      </c>
      <c r="N2879" t="inlineStr">
        <is>
          <t>alt</t>
        </is>
      </c>
      <c r="O2879" t="n">
        <v>100</v>
      </c>
      <c r="P2879" t="n">
        <v>0.0636</v>
      </c>
      <c r="Q2879" t="n">
        <v>100</v>
      </c>
      <c r="R2879" t="n">
        <v>0.2854</v>
      </c>
      <c r="S2879">
        <f>IMAGE("https://mitra.stanford.edu/kundaje/oak/projects/neuro-variants/variant_position/credible/roussos_2024/variant_figures/roussos_2024.childhood.Astrocyte/rs6779538_count_position.png",4,220,900)</f>
        <v/>
      </c>
      <c r="T2879">
        <f>IMAGE("https://mitra.stanford.edu/kundaje/oak/projects/neuro-variants/variant_position/credible/roussos_2024/variant_figures/roussos_2024.childhood.Astrocyte/rs6779538_profile_position.png",4,220,900)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0.025334679</v>
      </c>
      <c r="G2880" t="n">
        <v>0.4343159827250317</v>
      </c>
      <c r="H2880" t="n">
        <v>0.0367580806670216</v>
      </c>
      <c r="I2880" t="n">
        <v>0.0134797399872624</v>
      </c>
      <c r="J2880" t="n">
        <v>0.040507430560326</v>
      </c>
      <c r="K2880" t="n">
        <v>0.4792589699618741</v>
      </c>
      <c r="L2880" t="b">
        <v>1</v>
      </c>
      <c r="M2880" t="b">
        <v>0</v>
      </c>
      <c r="N2880" t="inlineStr">
        <is>
          <t>alt</t>
        </is>
      </c>
      <c r="O2880" t="n">
        <v>-50</v>
      </c>
      <c r="P2880" t="n">
        <v>0.02946</v>
      </c>
      <c r="Q2880" t="n">
        <v>-30</v>
      </c>
      <c r="R2880" t="n">
        <v>0.093</v>
      </c>
      <c r="S2880">
        <f>IMAGE("https://mitra.stanford.edu/kundaje/oak/projects/neuro-variants/variant_position/credible/roussos_2024/variant_figures/roussos_2024.childhood.Astrocyte/rs79339987_count_position.png",4,220,900)</f>
        <v/>
      </c>
      <c r="T2880">
        <f>IMAGE("https://mitra.stanford.edu/kundaje/oak/projects/neuro-variants/variant_position/credible/roussos_2024/variant_figures/roussos_2024.childhood.Astrocyte/rs79339987_profile_position.png",4,220,900)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-0.0735203512</v>
      </c>
      <c r="G2881" t="n">
        <v>0.1199123192191555</v>
      </c>
      <c r="H2881" t="n">
        <v>0.0114946898638508</v>
      </c>
      <c r="I2881" t="n">
        <v>0.5516118616092536</v>
      </c>
      <c r="J2881" t="n">
        <v>0.5403150832360147</v>
      </c>
      <c r="K2881" t="n">
        <v>0.0434447305798786</v>
      </c>
      <c r="L2881" t="b">
        <v>0</v>
      </c>
      <c r="M2881" t="b">
        <v>0</v>
      </c>
      <c r="N2881" t="inlineStr">
        <is>
          <t>ref</t>
        </is>
      </c>
      <c r="O2881" t="n">
        <v>-100</v>
      </c>
      <c r="P2881" t="n">
        <v>0.0548</v>
      </c>
      <c r="Q2881" t="n">
        <v>-55</v>
      </c>
      <c r="R2881" t="n">
        <v>0.2815</v>
      </c>
      <c r="S2881">
        <f>IMAGE("https://mitra.stanford.edu/kundaje/oak/projects/neuro-variants/variant_position/credible/roussos_2024/variant_figures/roussos_2024.childhood.Astrocyte/rs10937057_count_position.png",4,220,900)</f>
        <v/>
      </c>
      <c r="T2881">
        <f>IMAGE("https://mitra.stanford.edu/kundaje/oak/projects/neuro-variants/variant_position/credible/roussos_2024/variant_figures/roussos_2024.childhood.Astrocyte/rs10937057_profile_position.png",4,220,900)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-0.0180045504</v>
      </c>
      <c r="G2882" t="n">
        <v>0.5772765015439513</v>
      </c>
      <c r="H2882" t="n">
        <v>0.0079499711890808</v>
      </c>
      <c r="I2882" t="n">
        <v>0.8891739191956942</v>
      </c>
      <c r="J2882" t="n">
        <v>0.0283887858456793</v>
      </c>
      <c r="K2882" t="n">
        <v>0.548827569198084</v>
      </c>
      <c r="L2882" t="b">
        <v>0</v>
      </c>
      <c r="M2882" t="b">
        <v>0</v>
      </c>
      <c r="N2882" t="inlineStr">
        <is>
          <t>ref</t>
        </is>
      </c>
      <c r="O2882" t="n">
        <v>85</v>
      </c>
      <c r="P2882" t="n">
        <v>0.02707</v>
      </c>
      <c r="Q2882" t="n">
        <v>65</v>
      </c>
      <c r="R2882" t="n">
        <v>0.04706</v>
      </c>
      <c r="S2882">
        <f>IMAGE("https://mitra.stanford.edu/kundaje/oak/projects/neuro-variants/variant_position/credible/roussos_2024/variant_figures/roussos_2024.childhood.Astrocyte/rs4854918_count_position.png",4,220,900)</f>
        <v/>
      </c>
      <c r="T2882">
        <f>IMAGE("https://mitra.stanford.edu/kundaje/oak/projects/neuro-variants/variant_position/credible/roussos_2024/variant_figures/roussos_2024.childhood.Astrocyte/rs4854918_profile_position.png",4,220,900)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0.0202035216999999</v>
      </c>
      <c r="G2883" t="n">
        <v>0.4683192227364943</v>
      </c>
      <c r="H2883" t="n">
        <v>0.0106809449290145</v>
      </c>
      <c r="I2883" t="n">
        <v>0.6434078736356723</v>
      </c>
      <c r="J2883" t="n">
        <v>0.0526443940677642</v>
      </c>
      <c r="K2883" t="n">
        <v>0.4437057233708926</v>
      </c>
      <c r="L2883" t="b">
        <v>0</v>
      </c>
      <c r="M2883" t="b">
        <v>0</v>
      </c>
      <c r="N2883" t="inlineStr">
        <is>
          <t>alt</t>
        </is>
      </c>
      <c r="O2883" t="n">
        <v>100</v>
      </c>
      <c r="P2883" t="n">
        <v>0.02199</v>
      </c>
      <c r="Q2883" t="n">
        <v>-90</v>
      </c>
      <c r="R2883" t="n">
        <v>0.1571</v>
      </c>
      <c r="S2883">
        <f>IMAGE("https://mitra.stanford.edu/kundaje/oak/projects/neuro-variants/variant_position/credible/roussos_2024/variant_figures/roussos_2024.childhood.Astrocyte/rs11717567_count_position.png",4,220,900)</f>
        <v/>
      </c>
      <c r="T2883">
        <f>IMAGE("https://mitra.stanford.edu/kundaje/oak/projects/neuro-variants/variant_position/credible/roussos_2024/variant_figures/roussos_2024.childhood.Astrocyte/rs11717567_profile_position.png",4,220,900)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0.01707304368</v>
      </c>
      <c r="G2884" t="n">
        <v>0.5451728144533622</v>
      </c>
      <c r="H2884" t="n">
        <v>0.0332479079314762</v>
      </c>
      <c r="I2884" t="n">
        <v>0.0198701032781977</v>
      </c>
      <c r="J2884" t="n">
        <v>0.0011281323227465</v>
      </c>
      <c r="K2884" t="n">
        <v>0.9253768161884453</v>
      </c>
      <c r="L2884" t="b">
        <v>0</v>
      </c>
      <c r="M2884" t="b">
        <v>0</v>
      </c>
      <c r="N2884" t="inlineStr">
        <is>
          <t>alt</t>
        </is>
      </c>
      <c r="O2884" t="n">
        <v>45</v>
      </c>
      <c r="P2884" t="n">
        <v>0.002048</v>
      </c>
      <c r="Q2884" t="n">
        <v>65</v>
      </c>
      <c r="R2884" t="n">
        <v>0.07056</v>
      </c>
      <c r="S2884">
        <f>IMAGE("https://mitra.stanford.edu/kundaje/oak/projects/neuro-variants/variant_position/credible/roussos_2024/variant_figures/roussos_2024.childhood.Astrocyte/rs11708101_count_position.png",4,220,900)</f>
        <v/>
      </c>
      <c r="T2884">
        <f>IMAGE("https://mitra.stanford.edu/kundaje/oak/projects/neuro-variants/variant_position/credible/roussos_2024/variant_figures/roussos_2024.childhood.Astrocyte/rs11708101_profile_position.png",4,220,900)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-0.01867958628</v>
      </c>
      <c r="G2885" t="n">
        <v>0.5648671417655746</v>
      </c>
      <c r="H2885" t="n">
        <v>0.0113989144464972</v>
      </c>
      <c r="I2885" t="n">
        <v>0.5733379565895852</v>
      </c>
      <c r="J2885" t="n">
        <v>0.5761794631067148</v>
      </c>
      <c r="K2885" t="n">
        <v>0.035102553889236</v>
      </c>
      <c r="L2885" t="b">
        <v>0</v>
      </c>
      <c r="M2885" t="b">
        <v>0</v>
      </c>
      <c r="N2885" t="inlineStr">
        <is>
          <t>ref</t>
        </is>
      </c>
      <c r="O2885" t="n">
        <v>-100</v>
      </c>
      <c r="P2885" t="n">
        <v>0.02753</v>
      </c>
      <c r="Q2885" t="n">
        <v>-100</v>
      </c>
      <c r="R2885" t="n">
        <v>0.1909</v>
      </c>
      <c r="S2885">
        <f>IMAGE("https://mitra.stanford.edu/kundaje/oak/projects/neuro-variants/variant_position/credible/roussos_2024/variant_figures/roussos_2024.childhood.Astrocyte/rs55844174_count_position.png",4,220,900)</f>
        <v/>
      </c>
      <c r="T2885">
        <f>IMAGE("https://mitra.stanford.edu/kundaje/oak/projects/neuro-variants/variant_position/credible/roussos_2024/variant_figures/roussos_2024.childhood.Astrocyte/rs55844174_profile_position.png",4,220,900)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-0.0345016934</v>
      </c>
      <c r="G2886" t="n">
        <v>0.3042351043652034</v>
      </c>
      <c r="H2886" t="n">
        <v>0.010207340037084</v>
      </c>
      <c r="I2886" t="n">
        <v>0.6640955337940684</v>
      </c>
      <c r="J2886" t="n">
        <v>0.0568966438445039</v>
      </c>
      <c r="K2886" t="n">
        <v>0.421108294463078</v>
      </c>
      <c r="L2886" t="b">
        <v>0</v>
      </c>
      <c r="M2886" t="b">
        <v>0</v>
      </c>
      <c r="N2886" t="inlineStr">
        <is>
          <t>ref</t>
        </is>
      </c>
      <c r="O2886" t="n">
        <v>100</v>
      </c>
      <c r="P2886" t="n">
        <v>0.001389</v>
      </c>
      <c r="Q2886" t="n">
        <v>55</v>
      </c>
      <c r="R2886" t="n">
        <v>0.1279</v>
      </c>
      <c r="S2886">
        <f>IMAGE("https://mitra.stanford.edu/kundaje/oak/projects/neuro-variants/variant_position/credible/roussos_2024/variant_figures/roussos_2024.childhood.Astrocyte/rs16832517_count_position.png",4,220,900)</f>
        <v/>
      </c>
      <c r="T2886">
        <f>IMAGE("https://mitra.stanford.edu/kundaje/oak/projects/neuro-variants/variant_position/credible/roussos_2024/variant_figures/roussos_2024.childhood.Astrocyte/rs16832517_profile_position.png",4,220,900)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-0.0048311152</v>
      </c>
      <c r="G2887" t="n">
        <v>0.7782559485304595</v>
      </c>
      <c r="H2887" t="n">
        <v>0.0366194546743099</v>
      </c>
      <c r="I2887" t="n">
        <v>0.0139704292846698</v>
      </c>
      <c r="J2887" t="n">
        <v>0.8243540717333395</v>
      </c>
      <c r="K2887" t="n">
        <v>0.0063744604334659</v>
      </c>
      <c r="L2887" t="b">
        <v>1</v>
      </c>
      <c r="M2887" t="b">
        <v>0</v>
      </c>
      <c r="N2887" t="inlineStr">
        <is>
          <t>ref</t>
        </is>
      </c>
      <c r="O2887" t="n">
        <v>-55</v>
      </c>
      <c r="P2887" t="n">
        <v>0.01514</v>
      </c>
      <c r="Q2887" t="n">
        <v>-100</v>
      </c>
      <c r="R2887" t="n">
        <v>0.2505</v>
      </c>
      <c r="S2887">
        <f>IMAGE("https://mitra.stanford.edu/kundaje/oak/projects/neuro-variants/variant_position/credible/roussos_2024/variant_figures/roussos_2024.childhood.Astrocyte/rs75907840_count_position.png",4,220,900)</f>
        <v/>
      </c>
      <c r="T2887">
        <f>IMAGE("https://mitra.stanford.edu/kundaje/oak/projects/neuro-variants/variant_position/credible/roussos_2024/variant_figures/roussos_2024.childhood.Astrocyte/rs75907840_profile_position.png",4,220,900)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-0.0407626707999999</v>
      </c>
      <c r="G2888" t="n">
        <v>0.2330785027429625</v>
      </c>
      <c r="H2888" t="n">
        <v>0.0154597307481402</v>
      </c>
      <c r="I2888" t="n">
        <v>0.2792307196082419</v>
      </c>
      <c r="J2888" t="n">
        <v>0.4340637951958966</v>
      </c>
      <c r="K2888" t="n">
        <v>0.0750850251119046</v>
      </c>
      <c r="L2888" t="b">
        <v>0</v>
      </c>
      <c r="M2888" t="b">
        <v>0</v>
      </c>
      <c r="N2888" t="inlineStr">
        <is>
          <t>ref</t>
        </is>
      </c>
      <c r="O2888" t="n">
        <v>85</v>
      </c>
      <c r="P2888" t="n">
        <v>0.02719</v>
      </c>
      <c r="Q2888" t="n">
        <v>5</v>
      </c>
      <c r="R2888" t="n">
        <v>0.0003662</v>
      </c>
      <c r="S2888">
        <f>IMAGE("https://mitra.stanford.edu/kundaje/oak/projects/neuro-variants/variant_position/credible/roussos_2024/variant_figures/roussos_2024.childhood.Astrocyte/rs11915160_count_position.png",4,220,900)</f>
        <v/>
      </c>
      <c r="T2888">
        <f>IMAGE("https://mitra.stanford.edu/kundaje/oak/projects/neuro-variants/variant_position/credible/roussos_2024/variant_figures/roussos_2024.childhood.Astrocyte/rs11915160_profile_position.png",4,220,900)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0.0273661704</v>
      </c>
      <c r="G2889" t="n">
        <v>0.4092131308629186</v>
      </c>
      <c r="H2889" t="n">
        <v>0.0563312012770422</v>
      </c>
      <c r="I2889" t="n">
        <v>0.0025614542690617</v>
      </c>
      <c r="J2889" t="n">
        <v>0.0012212528527703</v>
      </c>
      <c r="K2889" t="n">
        <v>0.8955362998073789</v>
      </c>
      <c r="L2889" t="b">
        <v>0</v>
      </c>
      <c r="M2889" t="b">
        <v>0</v>
      </c>
      <c r="N2889" t="inlineStr">
        <is>
          <t>alt</t>
        </is>
      </c>
      <c r="O2889" t="n">
        <v>55</v>
      </c>
      <c r="P2889" t="n">
        <v>0.003044</v>
      </c>
      <c r="Q2889" t="n">
        <v>40</v>
      </c>
      <c r="R2889" t="n">
        <v>0.1196</v>
      </c>
      <c r="S2889">
        <f>IMAGE("https://mitra.stanford.edu/kundaje/oak/projects/neuro-variants/variant_position/credible/roussos_2024/variant_figures/roussos_2024.childhood.Astrocyte/rs12638738_count_position.png",4,220,900)</f>
        <v/>
      </c>
      <c r="T2889">
        <f>IMAGE("https://mitra.stanford.edu/kundaje/oak/projects/neuro-variants/variant_position/credible/roussos_2024/variant_figures/roussos_2024.childhood.Astrocyte/rs12638738_profile_position.png",4,220,900)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0.390774502</v>
      </c>
      <c r="G2890" t="n">
        <v>0.0025284741873311</v>
      </c>
      <c r="H2890" t="n">
        <v>0.0350395627217796</v>
      </c>
      <c r="I2890" t="n">
        <v>0.0180466085313719</v>
      </c>
      <c r="J2890" t="n">
        <v>0.0137329883294024</v>
      </c>
      <c r="K2890" t="n">
        <v>0.6918324779706776</v>
      </c>
      <c r="L2890" t="b">
        <v>1</v>
      </c>
      <c r="M2890" t="b">
        <v>1</v>
      </c>
      <c r="N2890" t="inlineStr">
        <is>
          <t>alt</t>
        </is>
      </c>
      <c r="O2890" t="n">
        <v>90</v>
      </c>
      <c r="P2890" t="n">
        <v>0.01263</v>
      </c>
      <c r="Q2890" t="n">
        <v>45</v>
      </c>
      <c r="R2890" t="n">
        <v>0.0796</v>
      </c>
      <c r="S2890">
        <f>IMAGE("https://mitra.stanford.edu/kundaje/oak/projects/neuro-variants/variant_position/credible/roussos_2024/variant_figures/roussos_2024.childhood.Astrocyte/rs57491362_count_position.png",4,220,900)</f>
        <v/>
      </c>
      <c r="T2890">
        <f>IMAGE("https://mitra.stanford.edu/kundaje/oak/projects/neuro-variants/variant_position/credible/roussos_2024/variant_figures/roussos_2024.childhood.Astrocyte/rs57491362_profile_position.png",4,220,900)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-0.07637569799999989</v>
      </c>
      <c r="G2891" t="n">
        <v>0.1171913126783899</v>
      </c>
      <c r="H2891" t="n">
        <v>0.0119644665184636</v>
      </c>
      <c r="I2891" t="n">
        <v>0.5109368489697206</v>
      </c>
      <c r="J2891" t="n">
        <v>0.0018860723744971</v>
      </c>
      <c r="K2891" t="n">
        <v>0.8786894589224269</v>
      </c>
      <c r="L2891" t="b">
        <v>0</v>
      </c>
      <c r="M2891" t="b">
        <v>0</v>
      </c>
      <c r="N2891" t="inlineStr">
        <is>
          <t>ref</t>
        </is>
      </c>
      <c r="O2891" t="n">
        <v>100</v>
      </c>
      <c r="P2891" t="n">
        <v>0.00355</v>
      </c>
      <c r="Q2891" t="n">
        <v>100</v>
      </c>
      <c r="R2891" t="n">
        <v>0.007507</v>
      </c>
      <c r="S2891">
        <f>IMAGE("https://mitra.stanford.edu/kundaje/oak/projects/neuro-variants/variant_position/credible/roussos_2024/variant_figures/roussos_2024.childhood.Astrocyte/rs112543424_count_position.png",4,220,900)</f>
        <v/>
      </c>
      <c r="T2891">
        <f>IMAGE("https://mitra.stanford.edu/kundaje/oak/projects/neuro-variants/variant_position/credible/roussos_2024/variant_figures/roussos_2024.childhood.Astrocyte/rs112543424_profile_position.png",4,220,900)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0.38837136</v>
      </c>
      <c r="G2892" t="n">
        <v>0.0025399408936952</v>
      </c>
      <c r="H2892" t="n">
        <v>0.0543470070760617</v>
      </c>
      <c r="I2892" t="n">
        <v>0.0029407437692948</v>
      </c>
      <c r="J2892" t="n">
        <v>0.0114637478723484</v>
      </c>
      <c r="K2892" t="n">
        <v>0.6938984778941937</v>
      </c>
      <c r="L2892" t="b">
        <v>1</v>
      </c>
      <c r="M2892" t="b">
        <v>1</v>
      </c>
      <c r="N2892" t="inlineStr">
        <is>
          <t>alt</t>
        </is>
      </c>
      <c r="O2892" t="n">
        <v>100</v>
      </c>
      <c r="P2892" t="n">
        <v>0.01749</v>
      </c>
      <c r="Q2892" t="n">
        <v>100</v>
      </c>
      <c r="R2892" t="n">
        <v>0.079</v>
      </c>
      <c r="S2892">
        <f>IMAGE("https://mitra.stanford.edu/kundaje/oak/projects/neuro-variants/variant_position/credible/roussos_2024/variant_figures/roussos_2024.childhood.Astrocyte/rs60319910_count_position.png",4,220,900)</f>
        <v/>
      </c>
      <c r="T2892">
        <f>IMAGE("https://mitra.stanford.edu/kundaje/oak/projects/neuro-variants/variant_position/credible/roussos_2024/variant_figures/roussos_2024.childhood.Astrocyte/rs60319910_profile_position.png",4,220,900)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0.0668331128</v>
      </c>
      <c r="G2893" t="n">
        <v>0.1599663579684987</v>
      </c>
      <c r="H2893" t="n">
        <v>0.0133879102445089</v>
      </c>
      <c r="I2893" t="n">
        <v>0.4028121912380387</v>
      </c>
      <c r="J2893" t="n">
        <v>0.0996046193889155</v>
      </c>
      <c r="K2893" t="n">
        <v>0.3272089338610306</v>
      </c>
      <c r="L2893" t="b">
        <v>0</v>
      </c>
      <c r="M2893" t="b">
        <v>0</v>
      </c>
      <c r="N2893" t="inlineStr">
        <is>
          <t>alt</t>
        </is>
      </c>
      <c r="O2893" t="n">
        <v>-50</v>
      </c>
      <c r="P2893" t="n">
        <v>0.007538</v>
      </c>
      <c r="Q2893" t="n">
        <v>20</v>
      </c>
      <c r="R2893" t="n">
        <v>0.03903</v>
      </c>
      <c r="S2893">
        <f>IMAGE("https://mitra.stanford.edu/kundaje/oak/projects/neuro-variants/variant_position/credible/roussos_2024/variant_figures/roussos_2024.childhood.Astrocyte/rs115259874_count_position.png",4,220,900)</f>
        <v/>
      </c>
      <c r="T2893">
        <f>IMAGE("https://mitra.stanford.edu/kundaje/oak/projects/neuro-variants/variant_position/credible/roussos_2024/variant_figures/roussos_2024.childhood.Astrocyte/rs115259874_profile_position.png",4,220,900)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-0.0269141064</v>
      </c>
      <c r="G2894" t="n">
        <v>0.4250483850300682</v>
      </c>
      <c r="H2894" t="n">
        <v>0.0124294016064581</v>
      </c>
      <c r="I2894" t="n">
        <v>0.4690843564366402</v>
      </c>
      <c r="J2894" t="n">
        <v>0.0054009907413767</v>
      </c>
      <c r="K2894" t="n">
        <v>0.7681044867655663</v>
      </c>
      <c r="L2894" t="b">
        <v>0</v>
      </c>
      <c r="M2894" t="b">
        <v>0</v>
      </c>
      <c r="N2894" t="inlineStr">
        <is>
          <t>ref</t>
        </is>
      </c>
      <c r="O2894" t="n">
        <v>90</v>
      </c>
      <c r="P2894" t="n">
        <v>0.01416</v>
      </c>
      <c r="Q2894" t="n">
        <v>-100</v>
      </c>
      <c r="R2894" t="n">
        <v>0.1034</v>
      </c>
      <c r="S2894">
        <f>IMAGE("https://mitra.stanford.edu/kundaje/oak/projects/neuro-variants/variant_position/credible/roussos_2024/variant_figures/roussos_2024.childhood.Astrocyte/rs4686478_count_position.png",4,220,900)</f>
        <v/>
      </c>
      <c r="T2894">
        <f>IMAGE("https://mitra.stanford.edu/kundaje/oak/projects/neuro-variants/variant_position/credible/roussos_2024/variant_figures/roussos_2024.childhood.Astrocyte/rs4686478_profile_position.png",4,220,900)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0.066520412</v>
      </c>
      <c r="G2895" t="n">
        <v>0.1468306214720743</v>
      </c>
      <c r="H2895" t="n">
        <v>0.0241948144671195</v>
      </c>
      <c r="I2895" t="n">
        <v>0.0670881605306535</v>
      </c>
      <c r="J2895" t="n">
        <v>0.0597146848022714</v>
      </c>
      <c r="K2895" t="n">
        <v>0.4209365398981487</v>
      </c>
      <c r="L2895" t="b">
        <v>0</v>
      </c>
      <c r="M2895" t="b">
        <v>0</v>
      </c>
      <c r="N2895" t="inlineStr">
        <is>
          <t>alt</t>
        </is>
      </c>
      <c r="O2895" t="n">
        <v>90</v>
      </c>
      <c r="P2895" t="n">
        <v>0.004272</v>
      </c>
      <c r="Q2895" t="n">
        <v>95</v>
      </c>
      <c r="R2895" t="n">
        <v>0.0803</v>
      </c>
      <c r="S2895">
        <f>IMAGE("https://mitra.stanford.edu/kundaje/oak/projects/neuro-variants/variant_position/credible/roussos_2024/variant_figures/roussos_2024.childhood.Astrocyte/rs4572756_count_position.png",4,220,900)</f>
        <v/>
      </c>
      <c r="T2895">
        <f>IMAGE("https://mitra.stanford.edu/kundaje/oak/projects/neuro-variants/variant_position/credible/roussos_2024/variant_figures/roussos_2024.childhood.Astrocyte/rs4572756_profile_position.png",4,220,900)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-0.15954812</v>
      </c>
      <c r="G2896" t="n">
        <v>0.0279723385882142</v>
      </c>
      <c r="H2896" t="n">
        <v>0.0316337030098148</v>
      </c>
      <c r="I2896" t="n">
        <v>0.024234268133261</v>
      </c>
      <c r="J2896" t="n">
        <v>0.3607214551227741</v>
      </c>
      <c r="K2896" t="n">
        <v>0.1022506426087733</v>
      </c>
      <c r="L2896" t="b">
        <v>0</v>
      </c>
      <c r="M2896" t="b">
        <v>0</v>
      </c>
      <c r="N2896" t="inlineStr">
        <is>
          <t>ref</t>
        </is>
      </c>
      <c r="O2896" t="n">
        <v>100</v>
      </c>
      <c r="P2896" t="n">
        <v>0.00946</v>
      </c>
      <c r="Q2896" t="n">
        <v>-45</v>
      </c>
      <c r="R2896" t="n">
        <v>0.0781</v>
      </c>
      <c r="S2896">
        <f>IMAGE("https://mitra.stanford.edu/kundaje/oak/projects/neuro-variants/variant_position/credible/roussos_2024/variant_figures/roussos_2024.childhood.Astrocyte/rs79650876_count_position.png",4,220,900)</f>
        <v/>
      </c>
      <c r="T2896">
        <f>IMAGE("https://mitra.stanford.edu/kundaje/oak/projects/neuro-variants/variant_position/credible/roussos_2024/variant_figures/roussos_2024.childhood.Astrocyte/rs79650876_profile_position.png",4,220,900)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0.282019166</v>
      </c>
      <c r="G2897" t="n">
        <v>0.0076681519191763</v>
      </c>
      <c r="H2897" t="n">
        <v>0.0404456098728777</v>
      </c>
      <c r="I2897" t="n">
        <v>0.009953145485461799</v>
      </c>
      <c r="J2897" t="n">
        <v>0.0096448444047536</v>
      </c>
      <c r="K2897" t="n">
        <v>0.7021298783940552</v>
      </c>
      <c r="L2897" t="b">
        <v>1</v>
      </c>
      <c r="M2897" t="b">
        <v>1</v>
      </c>
      <c r="N2897" t="inlineStr">
        <is>
          <t>alt</t>
        </is>
      </c>
      <c r="O2897" t="n">
        <v>100</v>
      </c>
      <c r="P2897" t="n">
        <v>0.0319</v>
      </c>
      <c r="Q2897" t="n">
        <v>5</v>
      </c>
      <c r="R2897" t="n">
        <v>0.002441</v>
      </c>
      <c r="S2897">
        <f>IMAGE("https://mitra.stanford.edu/kundaje/oak/projects/neuro-variants/variant_position/credible/roussos_2024/variant_figures/roussos_2024.childhood.Astrocyte/rs1365261_count_position.png",4,220,900)</f>
        <v/>
      </c>
      <c r="T2897">
        <f>IMAGE("https://mitra.stanford.edu/kundaje/oak/projects/neuro-variants/variant_position/credible/roussos_2024/variant_figures/roussos_2024.childhood.Astrocyte/rs1365261_profile_position.png",4,220,900)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-0.01539391406</v>
      </c>
      <c r="G2898" t="n">
        <v>0.4825167245195191</v>
      </c>
      <c r="H2898" t="n">
        <v>0.010509125409928</v>
      </c>
      <c r="I2898" t="n">
        <v>0.6469986261950473</v>
      </c>
      <c r="J2898" t="n">
        <v>0.4711288192774763</v>
      </c>
      <c r="K2898" t="n">
        <v>0.0619732602539588</v>
      </c>
      <c r="L2898" t="b">
        <v>0</v>
      </c>
      <c r="M2898" t="b">
        <v>0</v>
      </c>
      <c r="N2898" t="inlineStr">
        <is>
          <t>ref</t>
        </is>
      </c>
      <c r="O2898" t="n">
        <v>-45</v>
      </c>
      <c r="P2898" t="n">
        <v>0.00319</v>
      </c>
      <c r="Q2898" t="n">
        <v>35</v>
      </c>
      <c r="R2898" t="n">
        <v>0.0581</v>
      </c>
      <c r="S2898">
        <f>IMAGE("https://mitra.stanford.edu/kundaje/oak/projects/neuro-variants/variant_position/credible/roussos_2024/variant_figures/roussos_2024.childhood.Astrocyte/rs1426271_count_position.png",4,220,900)</f>
        <v/>
      </c>
      <c r="T2898">
        <f>IMAGE("https://mitra.stanford.edu/kundaje/oak/projects/neuro-variants/variant_position/credible/roussos_2024/variant_figures/roussos_2024.childhood.Astrocyte/rs1426271_profile_position.png",4,220,900)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0.019249218</v>
      </c>
      <c r="G2899" t="n">
        <v>0.524818978046687</v>
      </c>
      <c r="H2899" t="n">
        <v>0.0249709072486772</v>
      </c>
      <c r="I2899" t="n">
        <v>0.0599706942035954</v>
      </c>
      <c r="J2899" t="n">
        <v>0.0221687924099134</v>
      </c>
      <c r="K2899" t="n">
        <v>0.5748629069208546</v>
      </c>
      <c r="L2899" t="b">
        <v>0</v>
      </c>
      <c r="M2899" t="b">
        <v>0</v>
      </c>
      <c r="N2899" t="inlineStr">
        <is>
          <t>alt</t>
        </is>
      </c>
      <c r="O2899" t="n">
        <v>-75</v>
      </c>
      <c r="P2899" t="n">
        <v>0.0065</v>
      </c>
      <c r="Q2899" t="n">
        <v>-45</v>
      </c>
      <c r="R2899" t="n">
        <v>0.09329999999999999</v>
      </c>
      <c r="S2899">
        <f>IMAGE("https://mitra.stanford.edu/kundaje/oak/projects/neuro-variants/variant_position/credible/roussos_2024/variant_figures/roussos_2024.childhood.Astrocyte/rs9683218_count_position.png",4,220,900)</f>
        <v/>
      </c>
      <c r="T2899">
        <f>IMAGE("https://mitra.stanford.edu/kundaje/oak/projects/neuro-variants/variant_position/credible/roussos_2024/variant_figures/roussos_2024.childhood.Astrocyte/rs9683218_profile_position.png",4,220,900)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-0.00430486938</v>
      </c>
      <c r="G2900" t="n">
        <v>0.8492917396597582</v>
      </c>
      <c r="H2900" t="n">
        <v>0.009204918144285999</v>
      </c>
      <c r="I2900" t="n">
        <v>0.8049443538773422</v>
      </c>
      <c r="J2900" t="n">
        <v>0.0503728637616113</v>
      </c>
      <c r="K2900" t="n">
        <v>0.4445031175647618</v>
      </c>
      <c r="L2900" t="b">
        <v>0</v>
      </c>
      <c r="M2900" t="b">
        <v>0</v>
      </c>
      <c r="N2900" t="inlineStr">
        <is>
          <t>ref</t>
        </is>
      </c>
      <c r="O2900" t="n">
        <v>0</v>
      </c>
      <c r="P2900" t="n">
        <v>0</v>
      </c>
      <c r="Q2900" t="n">
        <v>10</v>
      </c>
      <c r="R2900" t="n">
        <v>0.00903</v>
      </c>
      <c r="S2900">
        <f>IMAGE("https://mitra.stanford.edu/kundaje/oak/projects/neuro-variants/variant_position/credible/roussos_2024/variant_figures/roussos_2024.childhood.Astrocyte/rs35734242_count_position.png",4,220,900)</f>
        <v/>
      </c>
      <c r="T2900">
        <f>IMAGE("https://mitra.stanford.edu/kundaje/oak/projects/neuro-variants/variant_position/credible/roussos_2024/variant_figures/roussos_2024.childhood.Astrocyte/rs35734242_profile_position.png",4,220,900)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0.100344041</v>
      </c>
      <c r="G2901" t="n">
        <v>0.0691280076826071</v>
      </c>
      <c r="H2901" t="n">
        <v>0.0115011579473999</v>
      </c>
      <c r="I2901" t="n">
        <v>0.5591549926441866</v>
      </c>
      <c r="J2901" t="n">
        <v>0.0153374092647294</v>
      </c>
      <c r="K2901" t="n">
        <v>0.6367290062586038</v>
      </c>
      <c r="L2901" t="b">
        <v>0</v>
      </c>
      <c r="M2901" t="b">
        <v>0</v>
      </c>
      <c r="N2901" t="inlineStr">
        <is>
          <t>alt</t>
        </is>
      </c>
      <c r="O2901" t="n">
        <v>100</v>
      </c>
      <c r="P2901" t="n">
        <v>0.02148</v>
      </c>
      <c r="Q2901" t="n">
        <v>10</v>
      </c>
      <c r="R2901" t="n">
        <v>0.02779</v>
      </c>
      <c r="S2901">
        <f>IMAGE("https://mitra.stanford.edu/kundaje/oak/projects/neuro-variants/variant_position/credible/roussos_2024/variant_figures/roussos_2024.childhood.Astrocyte/rs199753793_count_position.png",4,220,900)</f>
        <v/>
      </c>
      <c r="T2901">
        <f>IMAGE("https://mitra.stanford.edu/kundaje/oak/projects/neuro-variants/variant_position/credible/roussos_2024/variant_figures/roussos_2024.childhood.Astrocyte/rs199753793_profile_position.png",4,220,900)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-0.0071377204599999</v>
      </c>
      <c r="G2902" t="n">
        <v>0.7446235216335533</v>
      </c>
      <c r="H2902" t="n">
        <v>0.0354339060229792</v>
      </c>
      <c r="I2902" t="n">
        <v>0.0156028615594234</v>
      </c>
      <c r="J2902" t="n">
        <v>0.0490882584171036</v>
      </c>
      <c r="K2902" t="n">
        <v>0.4506348193888635</v>
      </c>
      <c r="L2902" t="b">
        <v>1</v>
      </c>
      <c r="M2902" t="b">
        <v>0</v>
      </c>
      <c r="N2902" t="inlineStr">
        <is>
          <t>ref</t>
        </is>
      </c>
      <c r="O2902" t="n">
        <v>-70</v>
      </c>
      <c r="P2902" t="n">
        <v>0.01578</v>
      </c>
      <c r="Q2902" t="n">
        <v>-70</v>
      </c>
      <c r="R2902" t="n">
        <v>0.1255</v>
      </c>
      <c r="S2902">
        <f>IMAGE("https://mitra.stanford.edu/kundaje/oak/projects/neuro-variants/variant_position/credible/roussos_2024/variant_figures/roussos_2024.childhood.Astrocyte/rs73100346_count_position.png",4,220,900)</f>
        <v/>
      </c>
      <c r="T2902">
        <f>IMAGE("https://mitra.stanford.edu/kundaje/oak/projects/neuro-variants/variant_position/credible/roussos_2024/variant_figures/roussos_2024.childhood.Astrocyte/rs73100346_profile_position.png",4,220,900)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0.0763884038</v>
      </c>
      <c r="G2903" t="n">
        <v>0.1233894853630022</v>
      </c>
      <c r="H2903" t="n">
        <v>0.0280052655876123</v>
      </c>
      <c r="I2903" t="n">
        <v>0.0389642292713148</v>
      </c>
      <c r="J2903" t="n">
        <v>0.0572324883790157</v>
      </c>
      <c r="K2903" t="n">
        <v>0.4178904805289984</v>
      </c>
      <c r="L2903" t="b">
        <v>0</v>
      </c>
      <c r="M2903" t="b">
        <v>0</v>
      </c>
      <c r="N2903" t="inlineStr">
        <is>
          <t>alt</t>
        </is>
      </c>
      <c r="O2903" t="n">
        <v>5</v>
      </c>
      <c r="P2903" t="n">
        <v>0.001816</v>
      </c>
      <c r="Q2903" t="n">
        <v>-55</v>
      </c>
      <c r="R2903" t="n">
        <v>0.05115</v>
      </c>
      <c r="S2903">
        <f>IMAGE("https://mitra.stanford.edu/kundaje/oak/projects/neuro-variants/variant_position/credible/roussos_2024/variant_figures/roussos_2024.childhood.Astrocyte/rs215407_count_position.png",4,220,900)</f>
        <v/>
      </c>
      <c r="T2903">
        <f>IMAGE("https://mitra.stanford.edu/kundaje/oak/projects/neuro-variants/variant_position/credible/roussos_2024/variant_figures/roussos_2024.childhood.Astrocyte/rs215407_profile_position.png",4,220,900)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0.0369234668</v>
      </c>
      <c r="G2904" t="n">
        <v>0.322076243932724</v>
      </c>
      <c r="H2904" t="n">
        <v>0.009302643661009099</v>
      </c>
      <c r="I2904" t="n">
        <v>0.7935433372799129</v>
      </c>
      <c r="J2904" t="n">
        <v>0.2990298672650805</v>
      </c>
      <c r="K2904" t="n">
        <v>0.1325630493421984</v>
      </c>
      <c r="L2904" t="b">
        <v>0</v>
      </c>
      <c r="M2904" t="b">
        <v>0</v>
      </c>
      <c r="N2904" t="inlineStr">
        <is>
          <t>alt</t>
        </is>
      </c>
      <c r="O2904" t="n">
        <v>-15</v>
      </c>
      <c r="P2904" t="n">
        <v>0.009820000000000001</v>
      </c>
      <c r="Q2904" t="n">
        <v>-55</v>
      </c>
      <c r="R2904" t="n">
        <v>0.242</v>
      </c>
      <c r="S2904">
        <f>IMAGE("https://mitra.stanford.edu/kundaje/oak/projects/neuro-variants/variant_position/credible/roussos_2024/variant_figures/roussos_2024.childhood.Astrocyte/rs215405_count_position.png",4,220,900)</f>
        <v/>
      </c>
      <c r="T2904">
        <f>IMAGE("https://mitra.stanford.edu/kundaje/oak/projects/neuro-variants/variant_position/credible/roussos_2024/variant_figures/roussos_2024.childhood.Astrocyte/rs215405_profile_position.png",4,220,900)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-0.0092821972</v>
      </c>
      <c r="G2905" t="n">
        <v>0.6111468485903644</v>
      </c>
      <c r="H2905" t="n">
        <v>0.0100968910219235</v>
      </c>
      <c r="I2905" t="n">
        <v>0.7117973469162372</v>
      </c>
      <c r="J2905" t="n">
        <v>0.1393281582743696</v>
      </c>
      <c r="K2905" t="n">
        <v>0.2654706629569748</v>
      </c>
      <c r="L2905" t="b">
        <v>0</v>
      </c>
      <c r="M2905" t="b">
        <v>0</v>
      </c>
      <c r="N2905" t="inlineStr">
        <is>
          <t>ref</t>
        </is>
      </c>
      <c r="O2905" t="n">
        <v>-90</v>
      </c>
      <c r="P2905" t="n">
        <v>0.01765</v>
      </c>
      <c r="Q2905" t="n">
        <v>100</v>
      </c>
      <c r="R2905" t="n">
        <v>0.1528</v>
      </c>
      <c r="S2905">
        <f>IMAGE("https://mitra.stanford.edu/kundaje/oak/projects/neuro-variants/variant_position/credible/roussos_2024/variant_figures/roussos_2024.childhood.Astrocyte/rs17541787_count_position.png",4,220,900)</f>
        <v/>
      </c>
      <c r="T2905">
        <f>IMAGE("https://mitra.stanford.edu/kundaje/oak/projects/neuro-variants/variant_position/credible/roussos_2024/variant_figures/roussos_2024.childhood.Astrocyte/rs17541787_profile_position.png",4,220,900)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-0.0373023188</v>
      </c>
      <c r="G2906" t="n">
        <v>0.3185834150315824</v>
      </c>
      <c r="H2906" t="n">
        <v>0.0549645314233494</v>
      </c>
      <c r="I2906" t="n">
        <v>0.002913602353721</v>
      </c>
      <c r="J2906" t="n">
        <v>0.0005541434819445</v>
      </c>
      <c r="K2906" t="n">
        <v>0.935401247231032</v>
      </c>
      <c r="L2906" t="b">
        <v>0</v>
      </c>
      <c r="M2906" t="b">
        <v>0</v>
      </c>
      <c r="N2906" t="inlineStr">
        <is>
          <t>ref</t>
        </is>
      </c>
      <c r="O2906" t="n">
        <v>95</v>
      </c>
      <c r="P2906" t="n">
        <v>0.00812</v>
      </c>
      <c r="Q2906" t="n">
        <v>75</v>
      </c>
      <c r="R2906" t="n">
        <v>0.1444</v>
      </c>
      <c r="S2906">
        <f>IMAGE("https://mitra.stanford.edu/kundaje/oak/projects/neuro-variants/variant_position/credible/roussos_2024/variant_figures/roussos_2024.childhood.Astrocyte/rs199797430_count_position.png",4,220,900)</f>
        <v/>
      </c>
      <c r="T2906">
        <f>IMAGE("https://mitra.stanford.edu/kundaje/oak/projects/neuro-variants/variant_position/credible/roussos_2024/variant_figures/roussos_2024.childhood.Astrocyte/rs199797430_profile_position.png",4,220,900)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0.0182528437999999</v>
      </c>
      <c r="G2907" t="n">
        <v>0.4663294019292198</v>
      </c>
      <c r="H2907" t="n">
        <v>0.03375209972222</v>
      </c>
      <c r="I2907" t="n">
        <v>0.0192572579728285</v>
      </c>
      <c r="J2907" t="n">
        <v>0.1488577469411432</v>
      </c>
      <c r="K2907" t="n">
        <v>0.2526195347934179</v>
      </c>
      <c r="L2907" t="b">
        <v>1</v>
      </c>
      <c r="M2907" t="b">
        <v>0</v>
      </c>
      <c r="N2907" t="inlineStr">
        <is>
          <t>alt</t>
        </is>
      </c>
      <c r="O2907" t="n">
        <v>-35</v>
      </c>
      <c r="P2907" t="n">
        <v>0.008970000000000001</v>
      </c>
      <c r="Q2907" t="n">
        <v>0</v>
      </c>
      <c r="R2907" t="n">
        <v>0</v>
      </c>
      <c r="S2907">
        <f>IMAGE("https://mitra.stanford.edu/kundaje/oak/projects/neuro-variants/variant_position/credible/roussos_2024/variant_figures/roussos_2024.childhood.Astrocyte/rs12641122_count_position.png",4,220,900)</f>
        <v/>
      </c>
      <c r="T2907">
        <f>IMAGE("https://mitra.stanford.edu/kundaje/oak/projects/neuro-variants/variant_position/credible/roussos_2024/variant_figures/roussos_2024.childhood.Astrocyte/rs12641122_profile_position.png",4,220,900)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-0.1042499254</v>
      </c>
      <c r="G2908" t="n">
        <v>0.0681741141373981</v>
      </c>
      <c r="H2908" t="n">
        <v>0.0158435417674917</v>
      </c>
      <c r="I2908" t="n">
        <v>0.2538329763247529</v>
      </c>
      <c r="J2908" t="n">
        <v>0.0057681298802408</v>
      </c>
      <c r="K2908" t="n">
        <v>0.7642848118561566</v>
      </c>
      <c r="L2908" t="b">
        <v>0</v>
      </c>
      <c r="M2908" t="b">
        <v>0</v>
      </c>
      <c r="N2908" t="inlineStr">
        <is>
          <t>ref</t>
        </is>
      </c>
      <c r="O2908" t="n">
        <v>-100</v>
      </c>
      <c r="P2908" t="n">
        <v>0.008710000000000001</v>
      </c>
      <c r="Q2908" t="n">
        <v>-5</v>
      </c>
      <c r="R2908" t="n">
        <v>0.05927</v>
      </c>
      <c r="S2908">
        <f>IMAGE("https://mitra.stanford.edu/kundaje/oak/projects/neuro-variants/variant_position/credible/roussos_2024/variant_figures/roussos_2024.childhood.Astrocyte/rs717947_count_position.png",4,220,900)</f>
        <v/>
      </c>
      <c r="T2908">
        <f>IMAGE("https://mitra.stanford.edu/kundaje/oak/projects/neuro-variants/variant_position/credible/roussos_2024/variant_figures/roussos_2024.childhood.Astrocyte/rs717947_profile_position.png",4,220,900)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0.0006440741519999999</v>
      </c>
      <c r="G2909" t="n">
        <v>0.8665671019692736</v>
      </c>
      <c r="H2909" t="n">
        <v>0.0240699820444347</v>
      </c>
      <c r="I2909" t="n">
        <v>0.06664777598964471</v>
      </c>
      <c r="J2909" t="n">
        <v>0.034578247960126</v>
      </c>
      <c r="K2909" t="n">
        <v>0.5165288206194594</v>
      </c>
      <c r="L2909" t="b">
        <v>0</v>
      </c>
      <c r="M2909" t="b">
        <v>0</v>
      </c>
      <c r="N2909" t="inlineStr">
        <is>
          <t>alt</t>
        </is>
      </c>
      <c r="O2909" t="n">
        <v>100</v>
      </c>
      <c r="P2909" t="n">
        <v>0.01439</v>
      </c>
      <c r="Q2909" t="n">
        <v>100</v>
      </c>
      <c r="R2909" t="n">
        <v>0.1704</v>
      </c>
      <c r="S2909">
        <f>IMAGE("https://mitra.stanford.edu/kundaje/oak/projects/neuro-variants/variant_position/credible/roussos_2024/variant_figures/roussos_2024.childhood.Astrocyte/rs16989137_count_position.png",4,220,900)</f>
        <v/>
      </c>
      <c r="T2909">
        <f>IMAGE("https://mitra.stanford.edu/kundaje/oak/projects/neuro-variants/variant_position/credible/roussos_2024/variant_figures/roussos_2024.childhood.Astrocyte/rs16989137_profile_position.png",4,220,900)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-0.0281014784</v>
      </c>
      <c r="G2910" t="n">
        <v>0.4164341940216851</v>
      </c>
      <c r="H2910" t="n">
        <v>0.0521390121346416</v>
      </c>
      <c r="I2910" t="n">
        <v>0.003443524441444</v>
      </c>
      <c r="J2910" t="n">
        <v>0.008231244227672</v>
      </c>
      <c r="K2910" t="n">
        <v>0.7235689974560006</v>
      </c>
      <c r="L2910" t="b">
        <v>0</v>
      </c>
      <c r="M2910" t="b">
        <v>0</v>
      </c>
      <c r="N2910" t="inlineStr">
        <is>
          <t>ref</t>
        </is>
      </c>
      <c r="O2910" t="n">
        <v>-100</v>
      </c>
      <c r="P2910" t="n">
        <v>0.01619</v>
      </c>
      <c r="Q2910" t="n">
        <v>90</v>
      </c>
      <c r="R2910" t="n">
        <v>0.10394</v>
      </c>
      <c r="S2910">
        <f>IMAGE("https://mitra.stanford.edu/kundaje/oak/projects/neuro-variants/variant_position/credible/roussos_2024/variant_figures/roussos_2024.childhood.Astrocyte/rs12649881_count_position.png",4,220,900)</f>
        <v/>
      </c>
      <c r="T2910">
        <f>IMAGE("https://mitra.stanford.edu/kundaje/oak/projects/neuro-variants/variant_position/credible/roussos_2024/variant_figures/roussos_2024.childhood.Astrocyte/rs12649881_profile_position.png",4,220,900)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-0.0812627304</v>
      </c>
      <c r="G2911" t="n">
        <v>0.1019272915438031</v>
      </c>
      <c r="H2911" t="n">
        <v>0.0116574993507632</v>
      </c>
      <c r="I2911" t="n">
        <v>0.5432732140834372</v>
      </c>
      <c r="J2911" t="n">
        <v>0.0036408600673215</v>
      </c>
      <c r="K2911" t="n">
        <v>0.8131517918091159</v>
      </c>
      <c r="L2911" t="b">
        <v>0</v>
      </c>
      <c r="M2911" t="b">
        <v>0</v>
      </c>
      <c r="N2911" t="inlineStr">
        <is>
          <t>ref</t>
        </is>
      </c>
      <c r="O2911" t="n">
        <v>-80</v>
      </c>
      <c r="P2911" t="n">
        <v>0.002884</v>
      </c>
      <c r="Q2911" t="n">
        <v>-30</v>
      </c>
      <c r="R2911" t="n">
        <v>0.02075</v>
      </c>
      <c r="S2911">
        <f>IMAGE("https://mitra.stanford.edu/kundaje/oak/projects/neuro-variants/variant_position/credible/roussos_2024/variant_figures/roussos_2024.childhood.Astrocyte/rs28430802_count_position.png",4,220,900)</f>
        <v/>
      </c>
      <c r="T2911">
        <f>IMAGE("https://mitra.stanford.edu/kundaje/oak/projects/neuro-variants/variant_position/credible/roussos_2024/variant_figures/roussos_2024.childhood.Astrocyte/rs28430802_profile_position.png",4,220,900)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0.3275822419999999</v>
      </c>
      <c r="G2912" t="n">
        <v>0.0050062513279776</v>
      </c>
      <c r="H2912" t="n">
        <v>0.0415860965888624</v>
      </c>
      <c r="I2912" t="n">
        <v>0.0085678905195466</v>
      </c>
      <c r="J2912" t="n">
        <v>0.1810873730087853</v>
      </c>
      <c r="K2912" t="n">
        <v>0.2167651653479685</v>
      </c>
      <c r="L2912" t="b">
        <v>1</v>
      </c>
      <c r="M2912" t="b">
        <v>1</v>
      </c>
      <c r="N2912" t="inlineStr">
        <is>
          <t>alt</t>
        </is>
      </c>
      <c r="O2912" t="n">
        <v>-10</v>
      </c>
      <c r="P2912" t="n">
        <v>0.002594</v>
      </c>
      <c r="Q2912" t="n">
        <v>25</v>
      </c>
      <c r="R2912" t="n">
        <v>0.01904</v>
      </c>
      <c r="S2912">
        <f>IMAGE("https://mitra.stanford.edu/kundaje/oak/projects/neuro-variants/variant_position/credible/roussos_2024/variant_figures/roussos_2024.childhood.Astrocyte/rs16989149_count_position.png",4,220,900)</f>
        <v/>
      </c>
      <c r="T2912">
        <f>IMAGE("https://mitra.stanford.edu/kundaje/oak/projects/neuro-variants/variant_position/credible/roussos_2024/variant_figures/roussos_2024.childhood.Astrocyte/rs16989149_profile_position.png",4,220,900)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0.0008161707279999</v>
      </c>
      <c r="G2913" t="n">
        <v>0.6117549257575963</v>
      </c>
      <c r="H2913" t="n">
        <v>0.0258572550719119</v>
      </c>
      <c r="I2913" t="n">
        <v>0.0516749706007588</v>
      </c>
      <c r="J2913" t="n">
        <v>0.0069023684672513</v>
      </c>
      <c r="K2913" t="n">
        <v>0.7569573237989586</v>
      </c>
      <c r="L2913" t="b">
        <v>0</v>
      </c>
      <c r="M2913" t="b">
        <v>0</v>
      </c>
      <c r="N2913" t="inlineStr">
        <is>
          <t>alt</t>
        </is>
      </c>
      <c r="O2913" t="n">
        <v>-55</v>
      </c>
      <c r="P2913" t="n">
        <v>0.001045</v>
      </c>
      <c r="Q2913" t="n">
        <v>100</v>
      </c>
      <c r="R2913" t="n">
        <v>0.0806</v>
      </c>
      <c r="S2913">
        <f>IMAGE("https://mitra.stanford.edu/kundaje/oak/projects/neuro-variants/variant_position/credible/roussos_2024/variant_figures/roussos_2024.childhood.Astrocyte/rs28379456_count_position.png",4,220,900)</f>
        <v/>
      </c>
      <c r="T2913">
        <f>IMAGE("https://mitra.stanford.edu/kundaje/oak/projects/neuro-variants/variant_position/credible/roussos_2024/variant_figures/roussos_2024.childhood.Astrocyte/rs28379456_profile_position.png",4,220,900)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-0.0100816562</v>
      </c>
      <c r="G2914" t="n">
        <v>0.7306834842847636</v>
      </c>
      <c r="H2914" t="n">
        <v>0.0233733810270489</v>
      </c>
      <c r="I2914" t="n">
        <v>0.0759224855042805</v>
      </c>
      <c r="J2914" t="n">
        <v>0.1624777693816644</v>
      </c>
      <c r="K2914" t="n">
        <v>0.2357044927947598</v>
      </c>
      <c r="L2914" t="b">
        <v>0</v>
      </c>
      <c r="M2914" t="b">
        <v>0</v>
      </c>
      <c r="N2914" t="inlineStr">
        <is>
          <t>ref</t>
        </is>
      </c>
      <c r="O2914" t="n">
        <v>-75</v>
      </c>
      <c r="P2914" t="n">
        <v>0.004143</v>
      </c>
      <c r="Q2914" t="n">
        <v>45</v>
      </c>
      <c r="R2914" t="n">
        <v>0.1255</v>
      </c>
      <c r="S2914">
        <f>IMAGE("https://mitra.stanford.edu/kundaje/oak/projects/neuro-variants/variant_position/credible/roussos_2024/variant_figures/roussos_2024.childhood.Astrocyte/rs35071135_count_position.png",4,220,900)</f>
        <v/>
      </c>
      <c r="T2914">
        <f>IMAGE("https://mitra.stanford.edu/kundaje/oak/projects/neuro-variants/variant_position/credible/roussos_2024/variant_figures/roussos_2024.childhood.Astrocyte/rs35071135_profile_position.png",4,220,900)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0.0588742818</v>
      </c>
      <c r="G2915" t="n">
        <v>0.1721060481428334</v>
      </c>
      <c r="H2915" t="n">
        <v>0.0215036613474295</v>
      </c>
      <c r="I2915" t="n">
        <v>0.0989537405528608</v>
      </c>
      <c r="J2915" t="n">
        <v>0.3059528443742224</v>
      </c>
      <c r="K2915" t="n">
        <v>0.1302180472354771</v>
      </c>
      <c r="L2915" t="b">
        <v>0</v>
      </c>
      <c r="M2915" t="b">
        <v>0</v>
      </c>
      <c r="N2915" t="inlineStr">
        <is>
          <t>alt</t>
        </is>
      </c>
      <c r="O2915" t="n">
        <v>-100</v>
      </c>
      <c r="P2915" t="n">
        <v>0.0531</v>
      </c>
      <c r="Q2915" t="n">
        <v>-100</v>
      </c>
      <c r="R2915" t="n">
        <v>0.3833</v>
      </c>
      <c r="S2915">
        <f>IMAGE("https://mitra.stanford.edu/kundaje/oak/projects/neuro-variants/variant_position/credible/roussos_2024/variant_figures/roussos_2024.childhood.Astrocyte/rs1965242_count_position.png",4,220,900)</f>
        <v/>
      </c>
      <c r="T2915">
        <f>IMAGE("https://mitra.stanford.edu/kundaje/oak/projects/neuro-variants/variant_position/credible/roussos_2024/variant_figures/roussos_2024.childhood.Astrocyte/rs1965242_profile_position.png",4,220,900)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5.660253260000008e-05</v>
      </c>
      <c r="G2916" t="n">
        <v>0.8515964292773023</v>
      </c>
      <c r="H2916" t="n">
        <v>0.026885824923061</v>
      </c>
      <c r="I2916" t="n">
        <v>0.0450830713282024</v>
      </c>
      <c r="J2916" t="n">
        <v>0.0450390419271369</v>
      </c>
      <c r="K2916" t="n">
        <v>0.5234688242314266</v>
      </c>
      <c r="L2916" t="b">
        <v>0</v>
      </c>
      <c r="M2916" t="b">
        <v>0</v>
      </c>
      <c r="N2916" t="inlineStr">
        <is>
          <t>alt</t>
        </is>
      </c>
      <c r="O2916" t="n">
        <v>20</v>
      </c>
      <c r="P2916" t="n">
        <v>0.003296</v>
      </c>
      <c r="Q2916" t="n">
        <v>-100</v>
      </c>
      <c r="R2916" t="n">
        <v>0.1361</v>
      </c>
      <c r="S2916">
        <f>IMAGE("https://mitra.stanford.edu/kundaje/oak/projects/neuro-variants/variant_position/credible/roussos_2024/variant_figures/roussos_2024.childhood.Astrocyte/rs12641809_count_position.png",4,220,900)</f>
        <v/>
      </c>
      <c r="T2916">
        <f>IMAGE("https://mitra.stanford.edu/kundaje/oak/projects/neuro-variants/variant_position/credible/roussos_2024/variant_figures/roussos_2024.childhood.Astrocyte/rs12641809_profile_position.png",4,220,900)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0.0988617488</v>
      </c>
      <c r="G2917" t="n">
        <v>0.0729835161918304</v>
      </c>
      <c r="H2917" t="n">
        <v>0.0126103073306116</v>
      </c>
      <c r="I2917" t="n">
        <v>0.4485659171731804</v>
      </c>
      <c r="J2917" t="n">
        <v>0.0259897872730186</v>
      </c>
      <c r="K2917" t="n">
        <v>0.5600691878747276</v>
      </c>
      <c r="L2917" t="b">
        <v>0</v>
      </c>
      <c r="M2917" t="b">
        <v>0</v>
      </c>
      <c r="N2917" t="inlineStr">
        <is>
          <t>alt</t>
        </is>
      </c>
      <c r="O2917" t="n">
        <v>100</v>
      </c>
      <c r="P2917" t="n">
        <v>0.009039999999999999</v>
      </c>
      <c r="Q2917" t="n">
        <v>35</v>
      </c>
      <c r="R2917" t="n">
        <v>0.09357</v>
      </c>
      <c r="S2917">
        <f>IMAGE("https://mitra.stanford.edu/kundaje/oak/projects/neuro-variants/variant_position/credible/roussos_2024/variant_figures/roussos_2024.childhood.Astrocyte/rs67906834_count_position.png",4,220,900)</f>
        <v/>
      </c>
      <c r="T2917">
        <f>IMAGE("https://mitra.stanford.edu/kundaje/oak/projects/neuro-variants/variant_position/credible/roussos_2024/variant_figures/roussos_2024.childhood.Astrocyte/rs67906834_profile_position.png",4,220,900)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-0.0277333906</v>
      </c>
      <c r="G2918" t="n">
        <v>0.4101198961294443</v>
      </c>
      <c r="H2918" t="n">
        <v>0.0103090463134603</v>
      </c>
      <c r="I2918" t="n">
        <v>0.6768732441750038</v>
      </c>
      <c r="J2918" t="n">
        <v>0.0137749688962163</v>
      </c>
      <c r="K2918" t="n">
        <v>0.6502276610883641</v>
      </c>
      <c r="L2918" t="b">
        <v>0</v>
      </c>
      <c r="M2918" t="b">
        <v>0</v>
      </c>
      <c r="N2918" t="inlineStr">
        <is>
          <t>ref</t>
        </is>
      </c>
      <c r="O2918" t="n">
        <v>45</v>
      </c>
      <c r="P2918" t="n">
        <v>0.006077</v>
      </c>
      <c r="Q2918" t="n">
        <v>95</v>
      </c>
      <c r="R2918" t="n">
        <v>0.003662</v>
      </c>
      <c r="S2918">
        <f>IMAGE("https://mitra.stanford.edu/kundaje/oak/projects/neuro-variants/variant_position/credible/roussos_2024/variant_figures/roussos_2024.childhood.Astrocyte/rs73127069_count_position.png",4,220,900)</f>
        <v/>
      </c>
      <c r="T2918">
        <f>IMAGE("https://mitra.stanford.edu/kundaje/oak/projects/neuro-variants/variant_position/credible/roussos_2024/variant_figures/roussos_2024.childhood.Astrocyte/rs73127069_profile_position.png",4,220,900)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0.1262783918</v>
      </c>
      <c r="G2919" t="n">
        <v>0.0448729729181104</v>
      </c>
      <c r="H2919" t="n">
        <v>0.0177589163401023</v>
      </c>
      <c r="I2919" t="n">
        <v>0.1885149721715056</v>
      </c>
      <c r="J2919" t="n">
        <v>0.0041232549441658</v>
      </c>
      <c r="K2919" t="n">
        <v>0.7995647475131343</v>
      </c>
      <c r="L2919" t="b">
        <v>0</v>
      </c>
      <c r="M2919" t="b">
        <v>0</v>
      </c>
      <c r="N2919" t="inlineStr">
        <is>
          <t>alt</t>
        </is>
      </c>
      <c r="O2919" t="n">
        <v>80</v>
      </c>
      <c r="P2919" t="n">
        <v>0.003609</v>
      </c>
      <c r="Q2919" t="n">
        <v>-10</v>
      </c>
      <c r="R2919" t="n">
        <v>0.03027</v>
      </c>
      <c r="S2919">
        <f>IMAGE("https://mitra.stanford.edu/kundaje/oak/projects/neuro-variants/variant_position/credible/roussos_2024/variant_figures/roussos_2024.childhood.Astrocyte/rs67509867_count_position.png",4,220,900)</f>
        <v/>
      </c>
      <c r="T2919">
        <f>IMAGE("https://mitra.stanford.edu/kundaje/oak/projects/neuro-variants/variant_position/credible/roussos_2024/variant_figures/roussos_2024.childhood.Astrocyte/rs67509867_profile_position.png",4,220,900)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0.259322232</v>
      </c>
      <c r="G2920" t="n">
        <v>0.008433017864831201</v>
      </c>
      <c r="H2920" t="n">
        <v>0.0324331254931386</v>
      </c>
      <c r="I2920" t="n">
        <v>0.0218087036776707</v>
      </c>
      <c r="J2920" t="n">
        <v>0.0146435849877492</v>
      </c>
      <c r="K2920" t="n">
        <v>0.6433626415033332</v>
      </c>
      <c r="L2920" t="b">
        <v>1</v>
      </c>
      <c r="M2920" t="b">
        <v>1</v>
      </c>
      <c r="N2920" t="inlineStr">
        <is>
          <t>alt</t>
        </is>
      </c>
      <c r="O2920" t="n">
        <v>-95</v>
      </c>
      <c r="P2920" t="n">
        <v>0.00489</v>
      </c>
      <c r="Q2920" t="n">
        <v>100</v>
      </c>
      <c r="R2920" t="n">
        <v>0.0326</v>
      </c>
      <c r="S2920">
        <f>IMAGE("https://mitra.stanford.edu/kundaje/oak/projects/neuro-variants/variant_position/credible/roussos_2024/variant_figures/roussos_2024.childhood.Astrocyte/rs10019596_count_position.png",4,220,900)</f>
        <v/>
      </c>
      <c r="T2920">
        <f>IMAGE("https://mitra.stanford.edu/kundaje/oak/projects/neuro-variants/variant_position/credible/roussos_2024/variant_figures/roussos_2024.childhood.Astrocyte/rs10019596_profile_position.png",4,220,900)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0.484264918</v>
      </c>
      <c r="G2921" t="n">
        <v>0.0011694376542524</v>
      </c>
      <c r="H2921" t="n">
        <v>0.1109727318173992</v>
      </c>
      <c r="I2921" t="n">
        <v>0.0003134858405601</v>
      </c>
      <c r="J2921" t="n">
        <v>0.0606512330837397</v>
      </c>
      <c r="K2921" t="n">
        <v>0.4382714304859965</v>
      </c>
      <c r="L2921" t="b">
        <v>1</v>
      </c>
      <c r="M2921" t="b">
        <v>1</v>
      </c>
      <c r="N2921" t="inlineStr">
        <is>
          <t>alt</t>
        </is>
      </c>
      <c r="O2921" t="n">
        <v>20</v>
      </c>
      <c r="P2921" t="n">
        <v>0.000496</v>
      </c>
      <c r="Q2921" t="n">
        <v>-90</v>
      </c>
      <c r="R2921" t="n">
        <v>0.2478</v>
      </c>
      <c r="S2921">
        <f>IMAGE("https://mitra.stanford.edu/kundaje/oak/projects/neuro-variants/variant_position/credible/roussos_2024/variant_figures/roussos_2024.childhood.Astrocyte/rs13130383_count_position.png",4,220,900)</f>
        <v/>
      </c>
      <c r="T2921">
        <f>IMAGE("https://mitra.stanford.edu/kundaje/oak/projects/neuro-variants/variant_position/credible/roussos_2024/variant_figures/roussos_2024.childhood.Astrocyte/rs13130383_profile_position.png",4,220,900)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-0.0275928752</v>
      </c>
      <c r="G2922" t="n">
        <v>0.4219208627662874</v>
      </c>
      <c r="H2922" t="n">
        <v>0.037849979092349</v>
      </c>
      <c r="I2922" t="n">
        <v>0.0120509333310466</v>
      </c>
      <c r="J2922" t="n">
        <v>0.0014334455359391</v>
      </c>
      <c r="K2922" t="n">
        <v>0.8804523901824141</v>
      </c>
      <c r="L2922" t="b">
        <v>0</v>
      </c>
      <c r="M2922" t="b">
        <v>0</v>
      </c>
      <c r="N2922" t="inlineStr">
        <is>
          <t>ref</t>
        </is>
      </c>
      <c r="O2922" t="n">
        <v>90</v>
      </c>
      <c r="P2922" t="n">
        <v>0.3083</v>
      </c>
      <c r="Q2922" t="n">
        <v>100</v>
      </c>
      <c r="R2922" t="n">
        <v>0.2905</v>
      </c>
      <c r="S2922">
        <f>IMAGE("https://mitra.stanford.edu/kundaje/oak/projects/neuro-variants/variant_position/credible/roussos_2024/variant_figures/roussos_2024.childhood.Astrocyte/rs34151233_count_position.png",4,220,900)</f>
        <v/>
      </c>
      <c r="T2922">
        <f>IMAGE("https://mitra.stanford.edu/kundaje/oak/projects/neuro-variants/variant_position/credible/roussos_2024/variant_figures/roussos_2024.childhood.Astrocyte/rs34151233_profile_position.png",4,220,900)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-0.00153775804</v>
      </c>
      <c r="G2923" t="n">
        <v>0.8877856178394923</v>
      </c>
      <c r="H2923" t="n">
        <v>0.0254902800904594</v>
      </c>
      <c r="I2923" t="n">
        <v>0.0543573768754457</v>
      </c>
      <c r="J2923" t="n">
        <v>0.000325921855083</v>
      </c>
      <c r="K2923" t="n">
        <v>0.9587443725674152</v>
      </c>
      <c r="L2923" t="b">
        <v>0</v>
      </c>
      <c r="M2923" t="b">
        <v>0</v>
      </c>
      <c r="N2923" t="inlineStr">
        <is>
          <t>ref</t>
        </is>
      </c>
      <c r="O2923" t="n">
        <v>40</v>
      </c>
      <c r="P2923" t="n">
        <v>0.0065</v>
      </c>
      <c r="Q2923" t="n">
        <v>-55</v>
      </c>
      <c r="R2923" t="n">
        <v>0.05884</v>
      </c>
      <c r="S2923">
        <f>IMAGE("https://mitra.stanford.edu/kundaje/oak/projects/neuro-variants/variant_position/credible/roussos_2024/variant_figures/roussos_2024.childhood.Astrocyte/rs10025016_count_position.png",4,220,900)</f>
        <v/>
      </c>
      <c r="T2923">
        <f>IMAGE("https://mitra.stanford.edu/kundaje/oak/projects/neuro-variants/variant_position/credible/roussos_2024/variant_figures/roussos_2024.childhood.Astrocyte/rs10025016_profile_position.png",4,220,900)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-0.0475335405999999</v>
      </c>
      <c r="G2924" t="n">
        <v>0.2325816158652176</v>
      </c>
      <c r="H2924" t="n">
        <v>0.0129918683152535</v>
      </c>
      <c r="I2924" t="n">
        <v>0.4354719149871641</v>
      </c>
      <c r="J2924" t="n">
        <v>0.0620350652225351</v>
      </c>
      <c r="K2924" t="n">
        <v>0.4227283325730788</v>
      </c>
      <c r="L2924" t="b">
        <v>0</v>
      </c>
      <c r="M2924" t="b">
        <v>0</v>
      </c>
      <c r="N2924" t="inlineStr">
        <is>
          <t>ref</t>
        </is>
      </c>
      <c r="O2924" t="n">
        <v>85</v>
      </c>
      <c r="P2924" t="n">
        <v>0.004448</v>
      </c>
      <c r="Q2924" t="n">
        <v>35</v>
      </c>
      <c r="R2924" t="n">
        <v>0.172</v>
      </c>
      <c r="S2924">
        <f>IMAGE("https://mitra.stanford.edu/kundaje/oak/projects/neuro-variants/variant_position/credible/roussos_2024/variant_figures/roussos_2024.childhood.Astrocyte/rs34365744_count_position.png",4,220,900)</f>
        <v/>
      </c>
      <c r="T2924">
        <f>IMAGE("https://mitra.stanford.edu/kundaje/oak/projects/neuro-variants/variant_position/credible/roussos_2024/variant_figures/roussos_2024.childhood.Astrocyte/rs34365744_profile_position.png",4,220,900)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0.179084364</v>
      </c>
      <c r="G2925" t="n">
        <v>0.0221563712605961</v>
      </c>
      <c r="H2925" t="n">
        <v>0.0323303093334515</v>
      </c>
      <c r="I2925" t="n">
        <v>0.0245373800233521</v>
      </c>
      <c r="J2925" t="n">
        <v>0.0342195049346247</v>
      </c>
      <c r="K2925" t="n">
        <v>0.5227194041683414</v>
      </c>
      <c r="L2925" t="b">
        <v>0</v>
      </c>
      <c r="M2925" t="b">
        <v>0</v>
      </c>
      <c r="N2925" t="inlineStr">
        <is>
          <t>alt</t>
        </is>
      </c>
      <c r="O2925" t="n">
        <v>75</v>
      </c>
      <c r="P2925" t="n">
        <v>0.005455</v>
      </c>
      <c r="Q2925" t="n">
        <v>-35</v>
      </c>
      <c r="R2925" t="n">
        <v>0.05505</v>
      </c>
      <c r="S2925">
        <f>IMAGE("https://mitra.stanford.edu/kundaje/oak/projects/neuro-variants/variant_position/credible/roussos_2024/variant_figures/roussos_2024.childhood.Astrocyte/rs4475134_count_position.png",4,220,900)</f>
        <v/>
      </c>
      <c r="T2925">
        <f>IMAGE("https://mitra.stanford.edu/kundaje/oak/projects/neuro-variants/variant_position/credible/roussos_2024/variant_figures/roussos_2024.childhood.Astrocyte/rs4475134_profile_position.png",4,220,900)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-0.009304640059999999</v>
      </c>
      <c r="G2926" t="n">
        <v>0.7244527014114038</v>
      </c>
      <c r="H2926" t="n">
        <v>0.0173526955424659</v>
      </c>
      <c r="I2926" t="n">
        <v>0.1972191488007648</v>
      </c>
      <c r="J2926" t="n">
        <v>0.0646951065924755</v>
      </c>
      <c r="K2926" t="n">
        <v>0.4107443886412888</v>
      </c>
      <c r="L2926" t="b">
        <v>0</v>
      </c>
      <c r="M2926" t="b">
        <v>0</v>
      </c>
      <c r="N2926" t="inlineStr">
        <is>
          <t>ref</t>
        </is>
      </c>
      <c r="O2926" t="n">
        <v>-100</v>
      </c>
      <c r="P2926" t="n">
        <v>0.01628</v>
      </c>
      <c r="Q2926" t="n">
        <v>-5</v>
      </c>
      <c r="R2926" t="n">
        <v>0.003906</v>
      </c>
      <c r="S2926">
        <f>IMAGE("https://mitra.stanford.edu/kundaje/oak/projects/neuro-variants/variant_position/credible/roussos_2024/variant_figures/roussos_2024.childhood.Astrocyte/rs9992483_count_position.png",4,220,900)</f>
        <v/>
      </c>
      <c r="T2926">
        <f>IMAGE("https://mitra.stanford.edu/kundaje/oak/projects/neuro-variants/variant_position/credible/roussos_2024/variant_figures/roussos_2024.childhood.Astrocyte/rs9992483_profile_position.png",4,220,900)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-0.2728841219999999</v>
      </c>
      <c r="G2927" t="n">
        <v>0.0073343999244295</v>
      </c>
      <c r="H2927" t="n">
        <v>0.0327665816747884</v>
      </c>
      <c r="I2927" t="n">
        <v>0.0220888719694903</v>
      </c>
      <c r="J2927" t="n">
        <v>0.0969537374153709</v>
      </c>
      <c r="K2927" t="n">
        <v>0.3372238826742111</v>
      </c>
      <c r="L2927" t="b">
        <v>1</v>
      </c>
      <c r="M2927" t="b">
        <v>1</v>
      </c>
      <c r="N2927" t="inlineStr">
        <is>
          <t>ref</t>
        </is>
      </c>
      <c r="O2927" t="n">
        <v>0</v>
      </c>
      <c r="P2927" t="n">
        <v>0</v>
      </c>
      <c r="Q2927" t="n">
        <v>50</v>
      </c>
      <c r="R2927" t="n">
        <v>0.08984</v>
      </c>
      <c r="S2927">
        <f>IMAGE("https://mitra.stanford.edu/kundaje/oak/projects/neuro-variants/variant_position/credible/roussos_2024/variant_figures/roussos_2024.childhood.Astrocyte/rs9995588_count_position.png",4,220,900)</f>
        <v/>
      </c>
      <c r="T2927">
        <f>IMAGE("https://mitra.stanford.edu/kundaje/oak/projects/neuro-variants/variant_position/credible/roussos_2024/variant_figures/roussos_2024.childhood.Astrocyte/rs9995588_profile_position.png",4,220,900)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-0.102251314</v>
      </c>
      <c r="G2928" t="n">
        <v>0.07223795263957419</v>
      </c>
      <c r="H2928" t="n">
        <v>0.0157263597158576</v>
      </c>
      <c r="I2928" t="n">
        <v>0.2641803935192782</v>
      </c>
      <c r="J2928" t="n">
        <v>0.0149908787677558</v>
      </c>
      <c r="K2928" t="n">
        <v>0.6662004959986303</v>
      </c>
      <c r="L2928" t="b">
        <v>0</v>
      </c>
      <c r="M2928" t="b">
        <v>0</v>
      </c>
      <c r="N2928" t="inlineStr">
        <is>
          <t>ref</t>
        </is>
      </c>
      <c r="O2928" t="n">
        <v>85</v>
      </c>
      <c r="P2928" t="n">
        <v>0.102</v>
      </c>
      <c r="Q2928" t="n">
        <v>65</v>
      </c>
      <c r="R2928" t="n">
        <v>0.1346</v>
      </c>
      <c r="S2928">
        <f>IMAGE("https://mitra.stanford.edu/kundaje/oak/projects/neuro-variants/variant_position/credible/roussos_2024/variant_figures/roussos_2024.childhood.Astrocyte/rs1596581_count_position.png",4,220,900)</f>
        <v/>
      </c>
      <c r="T2928">
        <f>IMAGE("https://mitra.stanford.edu/kundaje/oak/projects/neuro-variants/variant_position/credible/roussos_2024/variant_figures/roussos_2024.childhood.Astrocyte/rs1596581_profile_position.png",4,220,900)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-0.1563865099999999</v>
      </c>
      <c r="G2929" t="n">
        <v>0.0286623507397821</v>
      </c>
      <c r="H2929" t="n">
        <v>0.0263983034720938</v>
      </c>
      <c r="I2929" t="n">
        <v>0.0485155212470082</v>
      </c>
      <c r="J2929" t="n">
        <v>0.0012220161358032</v>
      </c>
      <c r="K2929" t="n">
        <v>0.8931501130490312</v>
      </c>
      <c r="L2929" t="b">
        <v>0</v>
      </c>
      <c r="M2929" t="b">
        <v>0</v>
      </c>
      <c r="N2929" t="inlineStr">
        <is>
          <t>ref</t>
        </is>
      </c>
      <c r="O2929" t="n">
        <v>5</v>
      </c>
      <c r="P2929" t="n">
        <v>0.000969</v>
      </c>
      <c r="Q2929" t="n">
        <v>60</v>
      </c>
      <c r="R2929" t="n">
        <v>0.04504</v>
      </c>
      <c r="S2929">
        <f>IMAGE("https://mitra.stanford.edu/kundaje/oak/projects/neuro-variants/variant_position/credible/roussos_2024/variant_figures/roussos_2024.childhood.Astrocyte/rs67655711_count_position.png",4,220,900)</f>
        <v/>
      </c>
      <c r="T2929">
        <f>IMAGE("https://mitra.stanford.edu/kundaje/oak/projects/neuro-variants/variant_position/credible/roussos_2024/variant_figures/roussos_2024.childhood.Astrocyte/rs67655711_profile_position.png",4,220,900)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-0.0372388015999999</v>
      </c>
      <c r="G2930" t="n">
        <v>0.3171920218222776</v>
      </c>
      <c r="H2930" t="n">
        <v>0.023732486971621</v>
      </c>
      <c r="I2930" t="n">
        <v>0.0717621962894178</v>
      </c>
      <c r="J2930" t="n">
        <v>0.0007846549579049</v>
      </c>
      <c r="K2930" t="n">
        <v>0.9189788320579232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0.00693</v>
      </c>
      <c r="Q2930" t="n">
        <v>-100</v>
      </c>
      <c r="R2930" t="n">
        <v>0.1456</v>
      </c>
      <c r="S2930">
        <f>IMAGE("https://mitra.stanford.edu/kundaje/oak/projects/neuro-variants/variant_position/credible/roussos_2024/variant_figures/roussos_2024.childhood.Astrocyte/rs35304177_count_position.png",4,220,900)</f>
        <v/>
      </c>
      <c r="T2930">
        <f>IMAGE("https://mitra.stanford.edu/kundaje/oak/projects/neuro-variants/variant_position/credible/roussos_2024/variant_figures/roussos_2024.childhood.Astrocyte/rs35304177_profile_position.png",4,220,900)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-0.003886792252</v>
      </c>
      <c r="G2931" t="n">
        <v>0.8800714919801691</v>
      </c>
      <c r="H2931" t="n">
        <v>0.0213995279565431</v>
      </c>
      <c r="I2931" t="n">
        <v>0.104775170022237</v>
      </c>
      <c r="J2931" t="n">
        <v>0.0020684970193797</v>
      </c>
      <c r="K2931" t="n">
        <v>0.8813833006510742</v>
      </c>
      <c r="L2931" t="b">
        <v>0</v>
      </c>
      <c r="M2931" t="b">
        <v>0</v>
      </c>
      <c r="N2931" t="inlineStr">
        <is>
          <t>ref</t>
        </is>
      </c>
      <c r="O2931" t="n">
        <v>-85</v>
      </c>
      <c r="P2931" t="n">
        <v>0.007263</v>
      </c>
      <c r="Q2931" t="n">
        <v>-55</v>
      </c>
      <c r="R2931" t="n">
        <v>0.02678</v>
      </c>
      <c r="S2931">
        <f>IMAGE("https://mitra.stanford.edu/kundaje/oak/projects/neuro-variants/variant_position/credible/roussos_2024/variant_figures/roussos_2024.childhood.Astrocyte/rs28530710_count_position.png",4,220,900)</f>
        <v/>
      </c>
      <c r="T2931">
        <f>IMAGE("https://mitra.stanford.edu/kundaje/oak/projects/neuro-variants/variant_position/credible/roussos_2024/variant_figures/roussos_2024.childhood.Astrocyte/rs28530710_profile_position.png",4,220,900)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0.0375383622</v>
      </c>
      <c r="G2932" t="n">
        <v>0.312248370208336</v>
      </c>
      <c r="H2932" t="n">
        <v>0.0115874836655757</v>
      </c>
      <c r="I2932" t="n">
        <v>0.5510582696084576</v>
      </c>
      <c r="J2932" t="n">
        <v>0.0056093670093807</v>
      </c>
      <c r="K2932" t="n">
        <v>0.7745279791099684</v>
      </c>
      <c r="L2932" t="b">
        <v>0</v>
      </c>
      <c r="M2932" t="b">
        <v>0</v>
      </c>
      <c r="N2932" t="inlineStr">
        <is>
          <t>alt</t>
        </is>
      </c>
      <c r="O2932" t="n">
        <v>-95</v>
      </c>
      <c r="P2932" t="n">
        <v>0.0094</v>
      </c>
      <c r="Q2932" t="n">
        <v>35</v>
      </c>
      <c r="R2932" t="n">
        <v>0.03906</v>
      </c>
      <c r="S2932">
        <f>IMAGE("https://mitra.stanford.edu/kundaje/oak/projects/neuro-variants/variant_position/credible/roussos_2024/variant_figures/roussos_2024.childhood.Astrocyte/rs28801803_count_position.png",4,220,900)</f>
        <v/>
      </c>
      <c r="T2932">
        <f>IMAGE("https://mitra.stanford.edu/kundaje/oak/projects/neuro-variants/variant_position/credible/roussos_2024/variant_figures/roussos_2024.childhood.Astrocyte/rs28801803_profile_position.png",4,220,900)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-0.01829438868</v>
      </c>
      <c r="G2933" t="n">
        <v>0.550881633539362</v>
      </c>
      <c r="H2933" t="n">
        <v>0.0105383722709138</v>
      </c>
      <c r="I2933" t="n">
        <v>0.658261295661865</v>
      </c>
      <c r="J2933" t="n">
        <v>0.0005869646523627</v>
      </c>
      <c r="K2933" t="n">
        <v>0.9418770874941468</v>
      </c>
      <c r="L2933" t="b">
        <v>0</v>
      </c>
      <c r="M2933" t="b">
        <v>0</v>
      </c>
      <c r="N2933" t="inlineStr">
        <is>
          <t>ref</t>
        </is>
      </c>
      <c r="O2933" t="n">
        <v>100</v>
      </c>
      <c r="P2933" t="n">
        <v>0.008449999999999999</v>
      </c>
      <c r="Q2933" t="n">
        <v>100</v>
      </c>
      <c r="R2933" t="n">
        <v>0.2605</v>
      </c>
      <c r="S2933">
        <f>IMAGE("https://mitra.stanford.edu/kundaje/oak/projects/neuro-variants/variant_position/credible/roussos_2024/variant_figures/roussos_2024.childhood.Astrocyte/rs28780405_count_position.png",4,220,900)</f>
        <v/>
      </c>
      <c r="T2933">
        <f>IMAGE("https://mitra.stanford.edu/kundaje/oak/projects/neuro-variants/variant_position/credible/roussos_2024/variant_figures/roussos_2024.childhood.Astrocyte/rs28780405_profile_position.png",4,220,900)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-0.006336071467</v>
      </c>
      <c r="G2934" t="n">
        <v>0.7732245398830695</v>
      </c>
      <c r="H2934" t="n">
        <v>0.0092779587649058</v>
      </c>
      <c r="I2934" t="n">
        <v>0.7906205368466417</v>
      </c>
      <c r="J2934" t="n">
        <v>0.0002144825322677</v>
      </c>
      <c r="K2934" t="n">
        <v>0.9708155238803576</v>
      </c>
      <c r="L2934" t="b">
        <v>0</v>
      </c>
      <c r="M2934" t="b">
        <v>0</v>
      </c>
      <c r="N2934" t="inlineStr">
        <is>
          <t>ref</t>
        </is>
      </c>
      <c r="O2934" t="n">
        <v>70</v>
      </c>
      <c r="P2934" t="n">
        <v>0.006096</v>
      </c>
      <c r="Q2934" t="n">
        <v>-95</v>
      </c>
      <c r="R2934" t="n">
        <v>0.04858</v>
      </c>
      <c r="S2934">
        <f>IMAGE("https://mitra.stanford.edu/kundaje/oak/projects/neuro-variants/variant_position/credible/roussos_2024/variant_figures/roussos_2024.childhood.Astrocyte/rs61139508_count_position.png",4,220,900)</f>
        <v/>
      </c>
      <c r="T2934">
        <f>IMAGE("https://mitra.stanford.edu/kundaje/oak/projects/neuro-variants/variant_position/credible/roussos_2024/variant_figures/roussos_2024.childhood.Astrocyte/rs61139508_profile_position.png",4,220,900)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-0.0172550659159999</v>
      </c>
      <c r="G2935" t="n">
        <v>0.4353810935372236</v>
      </c>
      <c r="H2935" t="n">
        <v>0.0120346366720683</v>
      </c>
      <c r="I2935" t="n">
        <v>0.5113324569178128</v>
      </c>
      <c r="J2935" t="n">
        <v>0.0002808881561371</v>
      </c>
      <c r="K2935" t="n">
        <v>0.9666083351559313</v>
      </c>
      <c r="L2935" t="b">
        <v>0</v>
      </c>
      <c r="M2935" t="b">
        <v>0</v>
      </c>
      <c r="N2935" t="inlineStr">
        <is>
          <t>ref</t>
        </is>
      </c>
      <c r="O2935" t="n">
        <v>15</v>
      </c>
      <c r="P2935" t="n">
        <v>0.000719</v>
      </c>
      <c r="Q2935" t="n">
        <v>95</v>
      </c>
      <c r="R2935" t="n">
        <v>0.0751</v>
      </c>
      <c r="S2935">
        <f>IMAGE("https://mitra.stanford.edu/kundaje/oak/projects/neuro-variants/variant_position/credible/roussos_2024/variant_figures/roussos_2024.childhood.Astrocyte/rs10017591_count_position.png",4,220,900)</f>
        <v/>
      </c>
      <c r="T2935">
        <f>IMAGE("https://mitra.stanford.edu/kundaje/oak/projects/neuro-variants/variant_position/credible/roussos_2024/variant_figures/roussos_2024.childhood.Astrocyte/rs10017591_profile_position.png",4,220,900)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0.183295294</v>
      </c>
      <c r="G2936" t="n">
        <v>0.0196218873220323</v>
      </c>
      <c r="H2936" t="n">
        <v>0.0304925856682898</v>
      </c>
      <c r="I2936" t="n">
        <v>0.0289960883000747</v>
      </c>
      <c r="J2936" t="n">
        <v>0.0705128498698602</v>
      </c>
      <c r="K2936" t="n">
        <v>0.4013046504212529</v>
      </c>
      <c r="L2936" t="b">
        <v>1</v>
      </c>
      <c r="M2936" t="b">
        <v>0</v>
      </c>
      <c r="N2936" t="inlineStr">
        <is>
          <t>alt</t>
        </is>
      </c>
      <c r="O2936" t="n">
        <v>95</v>
      </c>
      <c r="P2936" t="n">
        <v>0.001259</v>
      </c>
      <c r="Q2936" t="n">
        <v>-20</v>
      </c>
      <c r="R2936" t="n">
        <v>0.04297</v>
      </c>
      <c r="S2936">
        <f>IMAGE("https://mitra.stanford.edu/kundaje/oak/projects/neuro-variants/variant_position/credible/roussos_2024/variant_figures/roussos_2024.childhood.Astrocyte/rs28764846_count_position.png",4,220,900)</f>
        <v/>
      </c>
      <c r="T2936">
        <f>IMAGE("https://mitra.stanford.edu/kundaje/oak/projects/neuro-variants/variant_position/credible/roussos_2024/variant_figures/roussos_2024.childhood.Astrocyte/rs28764846_profile_position.png",4,220,900)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0.0225025097999999</v>
      </c>
      <c r="G2937" t="n">
        <v>0.4813657056689852</v>
      </c>
      <c r="H2937" t="n">
        <v>0.0297309693039201</v>
      </c>
      <c r="I2937" t="n">
        <v>0.0314483073180407</v>
      </c>
      <c r="J2937" t="n">
        <v>0.0040904337737476</v>
      </c>
      <c r="K2937" t="n">
        <v>0.7947375118039341</v>
      </c>
      <c r="L2937" t="b">
        <v>0</v>
      </c>
      <c r="M2937" t="b">
        <v>0</v>
      </c>
      <c r="N2937" t="inlineStr">
        <is>
          <t>alt</t>
        </is>
      </c>
      <c r="O2937" t="n">
        <v>-65</v>
      </c>
      <c r="P2937" t="n">
        <v>0.006836</v>
      </c>
      <c r="Q2937" t="n">
        <v>-100</v>
      </c>
      <c r="R2937" t="n">
        <v>0.0335</v>
      </c>
      <c r="S2937">
        <f>IMAGE("https://mitra.stanford.edu/kundaje/oak/projects/neuro-variants/variant_position/credible/roussos_2024/variant_figures/roussos_2024.childhood.Astrocyte/rs9996627_count_position.png",4,220,900)</f>
        <v/>
      </c>
      <c r="T2937">
        <f>IMAGE("https://mitra.stanford.edu/kundaje/oak/projects/neuro-variants/variant_position/credible/roussos_2024/variant_figures/roussos_2024.childhood.Astrocyte/rs9996627_profile_position.png",4,220,900)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0.00181365486</v>
      </c>
      <c r="G2938" t="n">
        <v>0.8546124251284004</v>
      </c>
      <c r="H2938" t="n">
        <v>0.0109518452896384</v>
      </c>
      <c r="I2938" t="n">
        <v>0.6036626639270388</v>
      </c>
      <c r="J2938" t="n">
        <v>0.0682260539030477</v>
      </c>
      <c r="K2938" t="n">
        <v>0.4127848604136965</v>
      </c>
      <c r="L2938" t="b">
        <v>0</v>
      </c>
      <c r="M2938" t="b">
        <v>0</v>
      </c>
      <c r="N2938" t="inlineStr">
        <is>
          <t>alt</t>
        </is>
      </c>
      <c r="O2938" t="n">
        <v>-30</v>
      </c>
      <c r="P2938" t="n">
        <v>0.00544</v>
      </c>
      <c r="Q2938" t="n">
        <v>100</v>
      </c>
      <c r="R2938" t="n">
        <v>0.0506</v>
      </c>
      <c r="S2938">
        <f>IMAGE("https://mitra.stanford.edu/kundaje/oak/projects/neuro-variants/variant_position/credible/roussos_2024/variant_figures/roussos_2024.childhood.Astrocyte/rs7674046_count_position.png",4,220,900)</f>
        <v/>
      </c>
      <c r="T2938">
        <f>IMAGE("https://mitra.stanford.edu/kundaje/oak/projects/neuro-variants/variant_position/credible/roussos_2024/variant_figures/roussos_2024.childhood.Astrocyte/rs7674046_profile_position.png",4,220,900)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0.06698798219999989</v>
      </c>
      <c r="G2939" t="n">
        <v>0.1345017659187082</v>
      </c>
      <c r="H2939" t="n">
        <v>0.0107583563557238</v>
      </c>
      <c r="I2939" t="n">
        <v>0.6415621940644558</v>
      </c>
      <c r="J2939" t="n">
        <v>0.0002808881561371</v>
      </c>
      <c r="K2939" t="n">
        <v>0.969364405333463</v>
      </c>
      <c r="L2939" t="b">
        <v>0</v>
      </c>
      <c r="M2939" t="b">
        <v>0</v>
      </c>
      <c r="N2939" t="inlineStr">
        <is>
          <t>alt</t>
        </is>
      </c>
      <c r="O2939" t="n">
        <v>-90</v>
      </c>
      <c r="P2939" t="n">
        <v>0.003376</v>
      </c>
      <c r="Q2939" t="n">
        <v>80</v>
      </c>
      <c r="R2939" t="n">
        <v>0.0653</v>
      </c>
      <c r="S2939">
        <f>IMAGE("https://mitra.stanford.edu/kundaje/oak/projects/neuro-variants/variant_position/credible/roussos_2024/variant_figures/roussos_2024.childhood.Astrocyte/rs13113238_count_position.png",4,220,900)</f>
        <v/>
      </c>
      <c r="T2939">
        <f>IMAGE("https://mitra.stanford.edu/kundaje/oak/projects/neuro-variants/variant_position/credible/roussos_2024/variant_figures/roussos_2024.childhood.Astrocyte/rs13113238_profile_position.png",4,220,900)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0.130770534</v>
      </c>
      <c r="G2940" t="n">
        <v>0.0415397860683626</v>
      </c>
      <c r="H2940" t="n">
        <v>0.0350213063409374</v>
      </c>
      <c r="I2940" t="n">
        <v>0.017143801422803</v>
      </c>
      <c r="J2940" t="n">
        <v>0.0004587331028218</v>
      </c>
      <c r="K2940" t="n">
        <v>0.9454841681695964</v>
      </c>
      <c r="L2940" t="b">
        <v>0</v>
      </c>
      <c r="M2940" t="b">
        <v>0</v>
      </c>
      <c r="N2940" t="inlineStr">
        <is>
          <t>alt</t>
        </is>
      </c>
      <c r="O2940" t="n">
        <v>-70</v>
      </c>
      <c r="P2940" t="n">
        <v>0.003231</v>
      </c>
      <c r="Q2940" t="n">
        <v>-75</v>
      </c>
      <c r="R2940" t="n">
        <v>0.0481</v>
      </c>
      <c r="S2940">
        <f>IMAGE("https://mitra.stanford.edu/kundaje/oak/projects/neuro-variants/variant_position/credible/roussos_2024/variant_figures/roussos_2024.childhood.Astrocyte/rs7693464_count_position.png",4,220,900)</f>
        <v/>
      </c>
      <c r="T2940">
        <f>IMAGE("https://mitra.stanford.edu/kundaje/oak/projects/neuro-variants/variant_position/credible/roussos_2024/variant_figures/roussos_2024.childhood.Astrocyte/rs7693464_profile_position.png",4,220,900)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-0.042276513</v>
      </c>
      <c r="G2941" t="n">
        <v>0.2983405243351085</v>
      </c>
      <c r="H2941" t="n">
        <v>0.017213801602035</v>
      </c>
      <c r="I2941" t="n">
        <v>0.2028846629470291</v>
      </c>
      <c r="J2941" t="n">
        <v>0.2018127972033309</v>
      </c>
      <c r="K2941" t="n">
        <v>0.2003643779090135</v>
      </c>
      <c r="L2941" t="b">
        <v>0</v>
      </c>
      <c r="M2941" t="b">
        <v>0</v>
      </c>
      <c r="N2941" t="inlineStr">
        <is>
          <t>ref</t>
        </is>
      </c>
      <c r="O2941" t="n">
        <v>100</v>
      </c>
      <c r="P2941" t="n">
        <v>0.02112</v>
      </c>
      <c r="Q2941" t="n">
        <v>100</v>
      </c>
      <c r="R2941" t="n">
        <v>0.1685</v>
      </c>
      <c r="S2941">
        <f>IMAGE("https://mitra.stanford.edu/kundaje/oak/projects/neuro-variants/variant_position/credible/roussos_2024/variant_figures/roussos_2024.childhood.Astrocyte/rs1373494_count_position.png",4,220,900)</f>
        <v/>
      </c>
      <c r="T2941">
        <f>IMAGE("https://mitra.stanford.edu/kundaje/oak/projects/neuro-variants/variant_position/credible/roussos_2024/variant_figures/roussos_2024.childhood.Astrocyte/rs1373494_profile_position.png",4,220,900)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0.0262719422</v>
      </c>
      <c r="G2942" t="n">
        <v>0.4235687786678562</v>
      </c>
      <c r="H2942" t="n">
        <v>0.0204997959622459</v>
      </c>
      <c r="I2942" t="n">
        <v>0.1149208912239797</v>
      </c>
      <c r="J2942" t="n">
        <v>0.0034813339134283</v>
      </c>
      <c r="K2942" t="n">
        <v>0.8227969631856111</v>
      </c>
      <c r="L2942" t="b">
        <v>0</v>
      </c>
      <c r="M2942" t="b">
        <v>0</v>
      </c>
      <c r="N2942" t="inlineStr">
        <is>
          <t>alt</t>
        </is>
      </c>
      <c r="O2942" t="n">
        <v>-100</v>
      </c>
      <c r="P2942" t="n">
        <v>0.003178</v>
      </c>
      <c r="Q2942" t="n">
        <v>40</v>
      </c>
      <c r="R2942" t="n">
        <v>0.03156</v>
      </c>
      <c r="S2942">
        <f>IMAGE("https://mitra.stanford.edu/kundaje/oak/projects/neuro-variants/variant_position/credible/roussos_2024/variant_figures/roussos_2024.childhood.Astrocyte/rs1822683_count_position.png",4,220,900)</f>
        <v/>
      </c>
      <c r="T2942">
        <f>IMAGE("https://mitra.stanford.edu/kundaje/oak/projects/neuro-variants/variant_position/credible/roussos_2024/variant_figures/roussos_2024.childhood.Astrocyte/rs1822683_profile_position.png",4,220,900)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-0.346568364</v>
      </c>
      <c r="G2943" t="n">
        <v>0.0048385353020038</v>
      </c>
      <c r="H2943" t="n">
        <v>0.0512215231628625</v>
      </c>
      <c r="I2943" t="n">
        <v>0.0038977992753985</v>
      </c>
      <c r="J2943" t="n">
        <v>0.0785555631883858</v>
      </c>
      <c r="K2943" t="n">
        <v>0.3727400205930222</v>
      </c>
      <c r="L2943" t="b">
        <v>1</v>
      </c>
      <c r="M2943" t="b">
        <v>1</v>
      </c>
      <c r="N2943" t="inlineStr">
        <is>
          <t>ref</t>
        </is>
      </c>
      <c r="O2943" t="n">
        <v>-85</v>
      </c>
      <c r="P2943" t="n">
        <v>0.0173</v>
      </c>
      <c r="Q2943" t="n">
        <v>-45</v>
      </c>
      <c r="R2943" t="n">
        <v>0.04395</v>
      </c>
      <c r="S2943">
        <f>IMAGE("https://mitra.stanford.edu/kundaje/oak/projects/neuro-variants/variant_position/credible/roussos_2024/variant_figures/roussos_2024.childhood.Astrocyte/rs3863828_count_position.png",4,220,900)</f>
        <v/>
      </c>
      <c r="T2943">
        <f>IMAGE("https://mitra.stanford.edu/kundaje/oak/projects/neuro-variants/variant_position/credible/roussos_2024/variant_figures/roussos_2024.childhood.Astrocyte/rs3863828_profile_position.png",4,220,900)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0.0312266042</v>
      </c>
      <c r="G2944" t="n">
        <v>0.3705942839613279</v>
      </c>
      <c r="H2944" t="n">
        <v>0.0234784682869933</v>
      </c>
      <c r="I2944" t="n">
        <v>0.0733727848666158</v>
      </c>
      <c r="J2944" t="n">
        <v>0.0001541831726622</v>
      </c>
      <c r="K2944" t="n">
        <v>0.9794617513404228</v>
      </c>
      <c r="L2944" t="b">
        <v>0</v>
      </c>
      <c r="M2944" t="b">
        <v>0</v>
      </c>
      <c r="N2944" t="inlineStr">
        <is>
          <t>alt</t>
        </is>
      </c>
      <c r="O2944" t="n">
        <v>10</v>
      </c>
      <c r="P2944" t="n">
        <v>0.0003357</v>
      </c>
      <c r="Q2944" t="n">
        <v>65</v>
      </c>
      <c r="R2944" t="n">
        <v>0.01883</v>
      </c>
      <c r="S2944">
        <f>IMAGE("https://mitra.stanford.edu/kundaje/oak/projects/neuro-variants/variant_position/credible/roussos_2024/variant_figures/roussos_2024.childhood.Astrocyte/rs28538874_count_position.png",4,220,900)</f>
        <v/>
      </c>
      <c r="T2944">
        <f>IMAGE("https://mitra.stanford.edu/kundaje/oak/projects/neuro-variants/variant_position/credible/roussos_2024/variant_figures/roussos_2024.childhood.Astrocyte/rs28538874_profile_position.png",4,220,900)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0.0180726158</v>
      </c>
      <c r="G2945" t="n">
        <v>0.545888826258535</v>
      </c>
      <c r="H2945" t="n">
        <v>0.0303091543084043</v>
      </c>
      <c r="I2945" t="n">
        <v>0.0288437272261913</v>
      </c>
      <c r="J2945" t="n">
        <v>0.0010395914909206</v>
      </c>
      <c r="K2945" t="n">
        <v>0.9041452962362988</v>
      </c>
      <c r="L2945" t="b">
        <v>0</v>
      </c>
      <c r="M2945" t="b">
        <v>0</v>
      </c>
      <c r="N2945" t="inlineStr">
        <is>
          <t>alt</t>
        </is>
      </c>
      <c r="O2945" t="n">
        <v>-85</v>
      </c>
      <c r="P2945" t="n">
        <v>0.01313</v>
      </c>
      <c r="Q2945" t="n">
        <v>-30</v>
      </c>
      <c r="R2945" t="n">
        <v>0.06419999999999999</v>
      </c>
      <c r="S2945">
        <f>IMAGE("https://mitra.stanford.edu/kundaje/oak/projects/neuro-variants/variant_position/credible/roussos_2024/variant_figures/roussos_2024.childhood.Astrocyte/rs66770627_count_position.png",4,220,900)</f>
        <v/>
      </c>
      <c r="T2945">
        <f>IMAGE("https://mitra.stanford.edu/kundaje/oak/projects/neuro-variants/variant_position/credible/roussos_2024/variant_figures/roussos_2024.childhood.Astrocyte/rs66770627_profile_position.png",4,220,900)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-0.039882226</v>
      </c>
      <c r="G2946" t="n">
        <v>0.2856420475779665</v>
      </c>
      <c r="H2946" t="n">
        <v>0.0134453660240322</v>
      </c>
      <c r="I2946" t="n">
        <v>0.3962206234463803</v>
      </c>
      <c r="J2946" t="n">
        <v>0.0001282315495408</v>
      </c>
      <c r="K2946" t="n">
        <v>0.9836056497728072</v>
      </c>
      <c r="L2946" t="b">
        <v>0</v>
      </c>
      <c r="M2946" t="b">
        <v>0</v>
      </c>
      <c r="N2946" t="inlineStr">
        <is>
          <t>ref</t>
        </is>
      </c>
      <c r="O2946" t="n">
        <v>-25</v>
      </c>
      <c r="P2946" t="n">
        <v>0.003967</v>
      </c>
      <c r="Q2946" t="n">
        <v>45</v>
      </c>
      <c r="R2946" t="n">
        <v>0.02975</v>
      </c>
      <c r="S2946">
        <f>IMAGE("https://mitra.stanford.edu/kundaje/oak/projects/neuro-variants/variant_position/credible/roussos_2024/variant_figures/roussos_2024.childhood.Astrocyte/rs6832462_count_position.png",4,220,900)</f>
        <v/>
      </c>
      <c r="T2946">
        <f>IMAGE("https://mitra.stanford.edu/kundaje/oak/projects/neuro-variants/variant_position/credible/roussos_2024/variant_figures/roussos_2024.childhood.Astrocyte/rs6832462_profile_position.png",4,220,900)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0.0082631673199999</v>
      </c>
      <c r="G2947" t="n">
        <v>0.7531744326716822</v>
      </c>
      <c r="H2947" t="n">
        <v>0.02399306838048</v>
      </c>
      <c r="I2947" t="n">
        <v>0.06764864005828899</v>
      </c>
      <c r="J2947" t="n">
        <v>0.0158312533870683</v>
      </c>
      <c r="K2947" t="n">
        <v>0.6253068603572491</v>
      </c>
      <c r="L2947" t="b">
        <v>0</v>
      </c>
      <c r="M2947" t="b">
        <v>0</v>
      </c>
      <c r="N2947" t="inlineStr">
        <is>
          <t>alt</t>
        </is>
      </c>
      <c r="O2947" t="n">
        <v>-70</v>
      </c>
      <c r="P2947" t="n">
        <v>0.001068</v>
      </c>
      <c r="Q2947" t="n">
        <v>100</v>
      </c>
      <c r="R2947" t="n">
        <v>0.0764</v>
      </c>
      <c r="S2947">
        <f>IMAGE("https://mitra.stanford.edu/kundaje/oak/projects/neuro-variants/variant_position/credible/roussos_2024/variant_figures/roussos_2024.childhood.Astrocyte/rs59554896_count_position.png",4,220,900)</f>
        <v/>
      </c>
      <c r="T2947">
        <f>IMAGE("https://mitra.stanford.edu/kundaje/oak/projects/neuro-variants/variant_position/credible/roussos_2024/variant_figures/roussos_2024.childhood.Astrocyte/rs59554896_profile_position.png",4,220,900)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-0.0515711649999999</v>
      </c>
      <c r="G2948" t="n">
        <v>0.1650110175694829</v>
      </c>
      <c r="H2948" t="n">
        <v>0.0261077729092651</v>
      </c>
      <c r="I2948" t="n">
        <v>0.0505921042282382</v>
      </c>
      <c r="J2948" t="n">
        <v>0.011274453680169</v>
      </c>
      <c r="K2948" t="n">
        <v>0.6771219255016199</v>
      </c>
      <c r="L2948" t="b">
        <v>0</v>
      </c>
      <c r="M2948" t="b">
        <v>0</v>
      </c>
      <c r="N2948" t="inlineStr">
        <is>
          <t>ref</t>
        </is>
      </c>
      <c r="O2948" t="n">
        <v>100</v>
      </c>
      <c r="P2948" t="n">
        <v>0.0004883</v>
      </c>
      <c r="Q2948" t="n">
        <v>95</v>
      </c>
      <c r="R2948" t="n">
        <v>0.1261</v>
      </c>
      <c r="S2948">
        <f>IMAGE("https://mitra.stanford.edu/kundaje/oak/projects/neuro-variants/variant_position/credible/roussos_2024/variant_figures/roussos_2024.childhood.Astrocyte/rs67910708_count_position.png",4,220,900)</f>
        <v/>
      </c>
      <c r="T2948">
        <f>IMAGE("https://mitra.stanford.edu/kundaje/oak/projects/neuro-variants/variant_position/credible/roussos_2024/variant_figures/roussos_2024.childhood.Astrocyte/rs67910708_profile_position.png",4,220,900)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-0.0417865836</v>
      </c>
      <c r="G2949" t="n">
        <v>0.2865574992065175</v>
      </c>
      <c r="H2949" t="n">
        <v>0.0126921747328121</v>
      </c>
      <c r="I2949" t="n">
        <v>0.4516963572007642</v>
      </c>
      <c r="J2949" t="n">
        <v>0.0061077908299176</v>
      </c>
      <c r="K2949" t="n">
        <v>0.7560961106189841</v>
      </c>
      <c r="L2949" t="b">
        <v>0</v>
      </c>
      <c r="M2949" t="b">
        <v>0</v>
      </c>
      <c r="N2949" t="inlineStr">
        <is>
          <t>ref</t>
        </is>
      </c>
      <c r="O2949" t="n">
        <v>30</v>
      </c>
      <c r="P2949" t="n">
        <v>0.00692</v>
      </c>
      <c r="Q2949" t="n">
        <v>-75</v>
      </c>
      <c r="R2949" t="n">
        <v>0.0696</v>
      </c>
      <c r="S2949">
        <f>IMAGE("https://mitra.stanford.edu/kundaje/oak/projects/neuro-variants/variant_position/credible/roussos_2024/variant_figures/roussos_2024.childhood.Astrocyte/rs58656292_count_position.png",4,220,900)</f>
        <v/>
      </c>
      <c r="T2949">
        <f>IMAGE("https://mitra.stanford.edu/kundaje/oak/projects/neuro-variants/variant_position/credible/roussos_2024/variant_figures/roussos_2024.childhood.Astrocyte/rs58656292_profile_position.png",4,220,900)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-0.0545443822</v>
      </c>
      <c r="G2950" t="n">
        <v>0.2091562798195276</v>
      </c>
      <c r="H2950" t="n">
        <v>0.0152716954554828</v>
      </c>
      <c r="I2950" t="n">
        <v>0.2876091735514465</v>
      </c>
      <c r="J2950" t="n">
        <v>0.051663575370383</v>
      </c>
      <c r="K2950" t="n">
        <v>0.4689539175625973</v>
      </c>
      <c r="L2950" t="b">
        <v>0</v>
      </c>
      <c r="M2950" t="b">
        <v>0</v>
      </c>
      <c r="N2950" t="inlineStr">
        <is>
          <t>ref</t>
        </is>
      </c>
      <c r="O2950" t="n">
        <v>20</v>
      </c>
      <c r="P2950" t="n">
        <v>0.001526</v>
      </c>
      <c r="Q2950" t="n">
        <v>100</v>
      </c>
      <c r="R2950" t="n">
        <v>0.2207</v>
      </c>
      <c r="S2950">
        <f>IMAGE("https://mitra.stanford.edu/kundaje/oak/projects/neuro-variants/variant_position/credible/roussos_2024/variant_figures/roussos_2024.childhood.Astrocyte/rs13104973_count_position.png",4,220,900)</f>
        <v/>
      </c>
      <c r="T2950">
        <f>IMAGE("https://mitra.stanford.edu/kundaje/oak/projects/neuro-variants/variant_position/credible/roussos_2024/variant_figures/roussos_2024.childhood.Astrocyte/rs13104973_profile_position.png",4,220,900)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0.09102344779999989</v>
      </c>
      <c r="G2951" t="n">
        <v>0.0986159541556451</v>
      </c>
      <c r="H2951" t="n">
        <v>0.0158605537196003</v>
      </c>
      <c r="I2951" t="n">
        <v>0.257244296742409</v>
      </c>
      <c r="J2951" t="n">
        <v>0.0495714165769808</v>
      </c>
      <c r="K2951" t="n">
        <v>0.456192875476096</v>
      </c>
      <c r="L2951" t="b">
        <v>0</v>
      </c>
      <c r="M2951" t="b">
        <v>0</v>
      </c>
      <c r="N2951" t="inlineStr">
        <is>
          <t>alt</t>
        </is>
      </c>
      <c r="O2951" t="n">
        <v>-100</v>
      </c>
      <c r="P2951" t="n">
        <v>0.005524</v>
      </c>
      <c r="Q2951" t="n">
        <v>-25</v>
      </c>
      <c r="R2951" t="n">
        <v>0.03442</v>
      </c>
      <c r="S2951">
        <f>IMAGE("https://mitra.stanford.edu/kundaje/oak/projects/neuro-variants/variant_position/credible/roussos_2024/variant_figures/roussos_2024.childhood.Astrocyte/rs3910837_count_position.png",4,220,900)</f>
        <v/>
      </c>
      <c r="T2951">
        <f>IMAGE("https://mitra.stanford.edu/kundaje/oak/projects/neuro-variants/variant_position/credible/roussos_2024/variant_figures/roussos_2024.childhood.Astrocyte/rs3910837_profile_position.png",4,220,900)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0.0050526785399999</v>
      </c>
      <c r="G2952" t="n">
        <v>0.7578978827586882</v>
      </c>
      <c r="H2952" t="n">
        <v>0.0267324441992432</v>
      </c>
      <c r="I2952" t="n">
        <v>0.04599503554236</v>
      </c>
      <c r="J2952" t="n">
        <v>0.0503545449688198</v>
      </c>
      <c r="K2952" t="n">
        <v>0.4529478375919983</v>
      </c>
      <c r="L2952" t="b">
        <v>0</v>
      </c>
      <c r="M2952" t="b">
        <v>0</v>
      </c>
      <c r="N2952" t="inlineStr">
        <is>
          <t>alt</t>
        </is>
      </c>
      <c r="O2952" t="n">
        <v>-60</v>
      </c>
      <c r="P2952" t="n">
        <v>0.002052</v>
      </c>
      <c r="Q2952" t="n">
        <v>-20</v>
      </c>
      <c r="R2952" t="n">
        <v>0.0004883</v>
      </c>
      <c r="S2952">
        <f>IMAGE("https://mitra.stanford.edu/kundaje/oak/projects/neuro-variants/variant_position/credible/roussos_2024/variant_figures/roussos_2024.childhood.Astrocyte/rs7689692_count_position.png",4,220,900)</f>
        <v/>
      </c>
      <c r="T2952">
        <f>IMAGE("https://mitra.stanford.edu/kundaje/oak/projects/neuro-variants/variant_position/credible/roussos_2024/variant_figures/roussos_2024.childhood.Astrocyte/rs7689692_profile_position.png",4,220,900)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0.0542125516</v>
      </c>
      <c r="G2953" t="n">
        <v>0.1906596253403882</v>
      </c>
      <c r="H2953" t="n">
        <v>0.009154303710578701</v>
      </c>
      <c r="I2953" t="n">
        <v>0.7921027781894223</v>
      </c>
      <c r="J2953" t="n">
        <v>0.0141436346011464</v>
      </c>
      <c r="K2953" t="n">
        <v>0.6427001562223567</v>
      </c>
      <c r="L2953" t="b">
        <v>0</v>
      </c>
      <c r="M2953" t="b">
        <v>0</v>
      </c>
      <c r="N2953" t="inlineStr">
        <is>
          <t>alt</t>
        </is>
      </c>
      <c r="O2953" t="n">
        <v>-85</v>
      </c>
      <c r="P2953" t="n">
        <v>0.01412</v>
      </c>
      <c r="Q2953" t="n">
        <v>-45</v>
      </c>
      <c r="R2953" t="n">
        <v>0.0924</v>
      </c>
      <c r="S2953">
        <f>IMAGE("https://mitra.stanford.edu/kundaje/oak/projects/neuro-variants/variant_position/credible/roussos_2024/variant_figures/roussos_2024.childhood.Astrocyte/rs10008587_count_position.png",4,220,900)</f>
        <v/>
      </c>
      <c r="T2953">
        <f>IMAGE("https://mitra.stanford.edu/kundaje/oak/projects/neuro-variants/variant_position/credible/roussos_2024/variant_figures/roussos_2024.childhood.Astrocyte/rs10008587_profile_position.png",4,220,900)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-0.0046176069</v>
      </c>
      <c r="G2954" t="n">
        <v>0.6718040759984241</v>
      </c>
      <c r="H2954" t="n">
        <v>0.0276429157034226</v>
      </c>
      <c r="I2954" t="n">
        <v>0.0402572030905176</v>
      </c>
      <c r="J2954" t="n">
        <v>0.0276285559448298</v>
      </c>
      <c r="K2954" t="n">
        <v>0.5481253379058055</v>
      </c>
      <c r="L2954" t="b">
        <v>0</v>
      </c>
      <c r="M2954" t="b">
        <v>0</v>
      </c>
      <c r="N2954" t="inlineStr">
        <is>
          <t>ref</t>
        </is>
      </c>
      <c r="O2954" t="n">
        <v>100</v>
      </c>
      <c r="P2954" t="n">
        <v>0.01794</v>
      </c>
      <c r="Q2954" t="n">
        <v>100</v>
      </c>
      <c r="R2954" t="n">
        <v>0.3345</v>
      </c>
      <c r="S2954">
        <f>IMAGE("https://mitra.stanford.edu/kundaje/oak/projects/neuro-variants/variant_position/credible/roussos_2024/variant_figures/roussos_2024.childhood.Astrocyte/rs12640723_count_position.png",4,220,900)</f>
        <v/>
      </c>
      <c r="T2954">
        <f>IMAGE("https://mitra.stanford.edu/kundaje/oak/projects/neuro-variants/variant_position/credible/roussos_2024/variant_figures/roussos_2024.childhood.Astrocyte/rs12640723_profile_position.png",4,220,900)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-0.0360359464</v>
      </c>
      <c r="G2955" t="n">
        <v>0.3285356532413946</v>
      </c>
      <c r="H2955" t="n">
        <v>0.0413040135253316</v>
      </c>
      <c r="I2955" t="n">
        <v>0.0084148595092655</v>
      </c>
      <c r="J2955" t="n">
        <v>0.0157167609321212</v>
      </c>
      <c r="K2955" t="n">
        <v>0.6303181061904792</v>
      </c>
      <c r="L2955" t="b">
        <v>1</v>
      </c>
      <c r="M2955" t="b">
        <v>0</v>
      </c>
      <c r="N2955" t="inlineStr">
        <is>
          <t>ref</t>
        </is>
      </c>
      <c r="O2955" t="n">
        <v>75</v>
      </c>
      <c r="P2955" t="n">
        <v>0.006203</v>
      </c>
      <c r="Q2955" t="n">
        <v>-100</v>
      </c>
      <c r="R2955" t="n">
        <v>0.04938</v>
      </c>
      <c r="S2955">
        <f>IMAGE("https://mitra.stanford.edu/kundaje/oak/projects/neuro-variants/variant_position/credible/roussos_2024/variant_figures/roussos_2024.childhood.Astrocyte/rs7683507_count_position.png",4,220,900)</f>
        <v/>
      </c>
      <c r="T2955">
        <f>IMAGE("https://mitra.stanford.edu/kundaje/oak/projects/neuro-variants/variant_position/credible/roussos_2024/variant_figures/roussos_2024.childhood.Astrocyte/rs7683507_profile_position.png",4,220,900)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0.01533990234</v>
      </c>
      <c r="G2956" t="n">
        <v>0.6079982627648429</v>
      </c>
      <c r="H2956" t="n">
        <v>0.0228688864600422</v>
      </c>
      <c r="I2956" t="n">
        <v>0.0812040231130834</v>
      </c>
      <c r="J2956" t="n">
        <v>0.0016937250501858</v>
      </c>
      <c r="K2956" t="n">
        <v>0.867531539418527</v>
      </c>
      <c r="L2956" t="b">
        <v>0</v>
      </c>
      <c r="M2956" t="b">
        <v>0</v>
      </c>
      <c r="N2956" t="inlineStr">
        <is>
          <t>alt</t>
        </is>
      </c>
      <c r="O2956" t="n">
        <v>-100</v>
      </c>
      <c r="P2956" t="n">
        <v>0.01387</v>
      </c>
      <c r="Q2956" t="n">
        <v>15</v>
      </c>
      <c r="R2956" t="n">
        <v>0.0163</v>
      </c>
      <c r="S2956">
        <f>IMAGE("https://mitra.stanford.edu/kundaje/oak/projects/neuro-variants/variant_position/credible/roussos_2024/variant_figures/roussos_2024.childhood.Astrocyte/rs28691127_count_position.png",4,220,900)</f>
        <v/>
      </c>
      <c r="T2956">
        <f>IMAGE("https://mitra.stanford.edu/kundaje/oak/projects/neuro-variants/variant_position/credible/roussos_2024/variant_figures/roussos_2024.childhood.Astrocyte/rs28691127_profile_position.png",4,220,900)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-0.0135418093999999</v>
      </c>
      <c r="G2957" t="n">
        <v>0.2754006596133751</v>
      </c>
      <c r="H2957" t="n">
        <v>0.0115146042966397</v>
      </c>
      <c r="I2957" t="n">
        <v>0.5568611536589101</v>
      </c>
      <c r="J2957" t="n">
        <v>0.0071252471128818</v>
      </c>
      <c r="K2957" t="n">
        <v>0.7374562711179308</v>
      </c>
      <c r="L2957" t="b">
        <v>0</v>
      </c>
      <c r="M2957" t="b">
        <v>0</v>
      </c>
      <c r="N2957" t="inlineStr">
        <is>
          <t>ref</t>
        </is>
      </c>
      <c r="O2957" t="n">
        <v>75</v>
      </c>
      <c r="P2957" t="n">
        <v>0.01046</v>
      </c>
      <c r="Q2957" t="n">
        <v>45</v>
      </c>
      <c r="R2957" t="n">
        <v>0.1184</v>
      </c>
      <c r="S2957">
        <f>IMAGE("https://mitra.stanford.edu/kundaje/oak/projects/neuro-variants/variant_position/credible/roussos_2024/variant_figures/roussos_2024.childhood.Astrocyte/rs16989276_count_position.png",4,220,900)</f>
        <v/>
      </c>
      <c r="T2957">
        <f>IMAGE("https://mitra.stanford.edu/kundaje/oak/projects/neuro-variants/variant_position/credible/roussos_2024/variant_figures/roussos_2024.childhood.Astrocyte/rs16989276_profile_position.png",4,220,900)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-0.1797383668</v>
      </c>
      <c r="G2958" t="n">
        <v>0.0240586954039003</v>
      </c>
      <c r="H2958" t="n">
        <v>0.0193490494174334</v>
      </c>
      <c r="I2958" t="n">
        <v>0.1868887236868607</v>
      </c>
      <c r="J2958" t="n">
        <v>0.001190721531451</v>
      </c>
      <c r="K2958" t="n">
        <v>0.9073578399334542</v>
      </c>
      <c r="L2958" t="b">
        <v>0</v>
      </c>
      <c r="M2958" t="b">
        <v>0</v>
      </c>
      <c r="N2958" t="inlineStr">
        <is>
          <t>ref</t>
        </is>
      </c>
      <c r="O2958" t="n">
        <v>-85</v>
      </c>
      <c r="P2958" t="n">
        <v>0.00508</v>
      </c>
      <c r="Q2958" t="n">
        <v>85</v>
      </c>
      <c r="R2958" t="n">
        <v>0.1465</v>
      </c>
      <c r="S2958">
        <f>IMAGE("https://mitra.stanford.edu/kundaje/oak/projects/neuro-variants/variant_position/credible/roussos_2024/variant_figures/roussos_2024.childhood.Astrocyte/rs34920686_count_position.png",4,220,900)</f>
        <v/>
      </c>
      <c r="T2958">
        <f>IMAGE("https://mitra.stanford.edu/kundaje/oak/projects/neuro-variants/variant_position/credible/roussos_2024/variant_figures/roussos_2024.childhood.Astrocyte/rs34920686_profile_position.png",4,220,900)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0.037581217</v>
      </c>
      <c r="G2959" t="n">
        <v>0.314095465024393</v>
      </c>
      <c r="H2959" t="n">
        <v>0.0127696776302709</v>
      </c>
      <c r="I2959" t="n">
        <v>0.4519043008409304</v>
      </c>
      <c r="J2959" t="n">
        <v>0.0068817598253608</v>
      </c>
      <c r="K2959" t="n">
        <v>0.7431625651689542</v>
      </c>
      <c r="L2959" t="b">
        <v>0</v>
      </c>
      <c r="M2959" t="b">
        <v>0</v>
      </c>
      <c r="N2959" t="inlineStr">
        <is>
          <t>alt</t>
        </is>
      </c>
      <c r="O2959" t="n">
        <v>-100</v>
      </c>
      <c r="P2959" t="n">
        <v>0.001217</v>
      </c>
      <c r="Q2959" t="n">
        <v>-100</v>
      </c>
      <c r="R2959" t="n">
        <v>0.1044</v>
      </c>
      <c r="S2959">
        <f>IMAGE("https://mitra.stanford.edu/kundaje/oak/projects/neuro-variants/variant_position/credible/roussos_2024/variant_figures/roussos_2024.childhood.Astrocyte/rs6814473_count_position.png",4,220,900)</f>
        <v/>
      </c>
      <c r="T2959">
        <f>IMAGE("https://mitra.stanford.edu/kundaje/oak/projects/neuro-variants/variant_position/credible/roussos_2024/variant_figures/roussos_2024.childhood.Astrocyte/rs6814473_profile_position.png",4,220,900)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0.0077901883199999</v>
      </c>
      <c r="G2960" t="n">
        <v>0.7713484653817103</v>
      </c>
      <c r="H2960" t="n">
        <v>0.0259846157939404</v>
      </c>
      <c r="I2960" t="n">
        <v>0.0525584427194111</v>
      </c>
      <c r="J2960" t="n">
        <v>0.0023554914397807</v>
      </c>
      <c r="K2960" t="n">
        <v>0.848188380384814</v>
      </c>
      <c r="L2960" t="b">
        <v>0</v>
      </c>
      <c r="M2960" t="b">
        <v>0</v>
      </c>
      <c r="N2960" t="inlineStr">
        <is>
          <t>alt</t>
        </is>
      </c>
      <c r="O2960" t="n">
        <v>-60</v>
      </c>
      <c r="P2960" t="n">
        <v>0.006836</v>
      </c>
      <c r="Q2960" t="n">
        <v>10</v>
      </c>
      <c r="R2960" t="n">
        <v>0.00464</v>
      </c>
      <c r="S2960">
        <f>IMAGE("https://mitra.stanford.edu/kundaje/oak/projects/neuro-variants/variant_position/credible/roussos_2024/variant_figures/roussos_2024.childhood.Astrocyte/rs35883430_count_position.png",4,220,900)</f>
        <v/>
      </c>
      <c r="T2960">
        <f>IMAGE("https://mitra.stanford.edu/kundaje/oak/projects/neuro-variants/variant_position/credible/roussos_2024/variant_figures/roussos_2024.childhood.Astrocyte/rs35883430_profile_position.png",4,220,900)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-0.01667618176</v>
      </c>
      <c r="G2961" t="n">
        <v>0.5812795493960561</v>
      </c>
      <c r="H2961" t="n">
        <v>0.0160056294221632</v>
      </c>
      <c r="I2961" t="n">
        <v>0.2491635117565978</v>
      </c>
      <c r="J2961" t="n">
        <v>0.0544091044400173</v>
      </c>
      <c r="K2961" t="n">
        <v>0.4327619138082555</v>
      </c>
      <c r="L2961" t="b">
        <v>0</v>
      </c>
      <c r="M2961" t="b">
        <v>0</v>
      </c>
      <c r="N2961" t="inlineStr">
        <is>
          <t>ref</t>
        </is>
      </c>
      <c r="O2961" t="n">
        <v>30</v>
      </c>
      <c r="P2961" t="n">
        <v>0.01099</v>
      </c>
      <c r="Q2961" t="n">
        <v>100</v>
      </c>
      <c r="R2961" t="n">
        <v>0.2122</v>
      </c>
      <c r="S2961">
        <f>IMAGE("https://mitra.stanford.edu/kundaje/oak/projects/neuro-variants/variant_position/credible/roussos_2024/variant_figures/roussos_2024.childhood.Astrocyte/rs7665880_count_position.png",4,220,900)</f>
        <v/>
      </c>
      <c r="T2961">
        <f>IMAGE("https://mitra.stanford.edu/kundaje/oak/projects/neuro-variants/variant_position/credible/roussos_2024/variant_figures/roussos_2024.childhood.Astrocyte/rs7665880_profile_position.png",4,220,900)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0.0529061205999999</v>
      </c>
      <c r="G2962" t="n">
        <v>0.1923765176635254</v>
      </c>
      <c r="H2962" t="n">
        <v>0.0263119902753953</v>
      </c>
      <c r="I2962" t="n">
        <v>0.0484990754046976</v>
      </c>
      <c r="J2962" t="n">
        <v>0.0718730202346331</v>
      </c>
      <c r="K2962" t="n">
        <v>0.3848214936273734</v>
      </c>
      <c r="L2962" t="b">
        <v>0</v>
      </c>
      <c r="M2962" t="b">
        <v>0</v>
      </c>
      <c r="N2962" t="inlineStr">
        <is>
          <t>alt</t>
        </is>
      </c>
      <c r="O2962" t="n">
        <v>-100</v>
      </c>
      <c r="P2962" t="n">
        <v>0.002655</v>
      </c>
      <c r="Q2962" t="n">
        <v>-20</v>
      </c>
      <c r="R2962" t="n">
        <v>0.002182</v>
      </c>
      <c r="S2962">
        <f>IMAGE("https://mitra.stanford.edu/kundaje/oak/projects/neuro-variants/variant_position/credible/roussos_2024/variant_figures/roussos_2024.childhood.Astrocyte/rs13130693_count_position.png",4,220,900)</f>
        <v/>
      </c>
      <c r="T2962">
        <f>IMAGE("https://mitra.stanford.edu/kundaje/oak/projects/neuro-variants/variant_position/credible/roussos_2024/variant_figures/roussos_2024.childhood.Astrocyte/rs13130693_profile_position.png",4,220,900)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-0.0232323553999999</v>
      </c>
      <c r="G2963" t="n">
        <v>0.2934255291223286</v>
      </c>
      <c r="H2963" t="n">
        <v>0.0095907200197779</v>
      </c>
      <c r="I2963" t="n">
        <v>0.7494633529472654</v>
      </c>
      <c r="J2963" t="n">
        <v>0.0009693694518863</v>
      </c>
      <c r="K2963" t="n">
        <v>0.914714075652764</v>
      </c>
      <c r="L2963" t="b">
        <v>0</v>
      </c>
      <c r="M2963" t="b">
        <v>0</v>
      </c>
      <c r="N2963" t="inlineStr">
        <is>
          <t>ref</t>
        </is>
      </c>
      <c r="O2963" t="n">
        <v>-100</v>
      </c>
      <c r="P2963" t="n">
        <v>0.0258</v>
      </c>
      <c r="Q2963" t="n">
        <v>-75</v>
      </c>
      <c r="R2963" t="n">
        <v>0.02414</v>
      </c>
      <c r="S2963">
        <f>IMAGE("https://mitra.stanford.edu/kundaje/oak/projects/neuro-variants/variant_position/credible/roussos_2024/variant_figures/roussos_2024.childhood.Astrocyte/rs12647107_count_position.png",4,220,900)</f>
        <v/>
      </c>
      <c r="T2963">
        <f>IMAGE("https://mitra.stanford.edu/kundaje/oak/projects/neuro-variants/variant_position/credible/roussos_2024/variant_figures/roussos_2024.childhood.Astrocyte/rs12647107_profile_position.png",4,220,900)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0.0716411832</v>
      </c>
      <c r="G2964" t="n">
        <v>0.1252479060045814</v>
      </c>
      <c r="H2964" t="n">
        <v>0.0128710542736694</v>
      </c>
      <c r="I2964" t="n">
        <v>0.4375577298587526</v>
      </c>
      <c r="J2964" t="n">
        <v>0.1237991649683618</v>
      </c>
      <c r="K2964" t="n">
        <v>0.2914774085253937</v>
      </c>
      <c r="L2964" t="b">
        <v>0</v>
      </c>
      <c r="M2964" t="b">
        <v>0</v>
      </c>
      <c r="N2964" t="inlineStr">
        <is>
          <t>alt</t>
        </is>
      </c>
      <c r="O2964" t="n">
        <v>100</v>
      </c>
      <c r="P2964" t="n">
        <v>0.00647</v>
      </c>
      <c r="Q2964" t="n">
        <v>35</v>
      </c>
      <c r="R2964" t="n">
        <v>0.03833</v>
      </c>
      <c r="S2964">
        <f>IMAGE("https://mitra.stanford.edu/kundaje/oak/projects/neuro-variants/variant_position/credible/roussos_2024/variant_figures/roussos_2024.childhood.Astrocyte/rs35930604_count_position.png",4,220,900)</f>
        <v/>
      </c>
      <c r="T2964">
        <f>IMAGE("https://mitra.stanford.edu/kundaje/oak/projects/neuro-variants/variant_position/credible/roussos_2024/variant_figures/roussos_2024.childhood.Astrocyte/rs35930604_profile_position.png",4,220,900)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0.0880309426</v>
      </c>
      <c r="G2965" t="n">
        <v>0.09798861261359609</v>
      </c>
      <c r="H2965" t="n">
        <v>0.0302686819511033</v>
      </c>
      <c r="I2965" t="n">
        <v>0.0290647804864145</v>
      </c>
      <c r="J2965" t="n">
        <v>0.2242495019578209</v>
      </c>
      <c r="K2965" t="n">
        <v>0.1833848104817537</v>
      </c>
      <c r="L2965" t="b">
        <v>0</v>
      </c>
      <c r="M2965" t="b">
        <v>0</v>
      </c>
      <c r="N2965" t="inlineStr">
        <is>
          <t>alt</t>
        </is>
      </c>
      <c r="O2965" t="n">
        <v>-100</v>
      </c>
      <c r="P2965" t="n">
        <v>0.010506</v>
      </c>
      <c r="Q2965" t="n">
        <v>30</v>
      </c>
      <c r="R2965" t="n">
        <v>0.04932</v>
      </c>
      <c r="S2965">
        <f>IMAGE("https://mitra.stanford.edu/kundaje/oak/projects/neuro-variants/variant_position/credible/roussos_2024/variant_figures/roussos_2024.childhood.Astrocyte/rs67951022_count_position.png",4,220,900)</f>
        <v/>
      </c>
      <c r="T2965">
        <f>IMAGE("https://mitra.stanford.edu/kundaje/oak/projects/neuro-variants/variant_position/credible/roussos_2024/variant_figures/roussos_2024.childhood.Astrocyte/rs67951022_profile_position.png",4,220,900)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0.035084435</v>
      </c>
      <c r="G2966" t="n">
        <v>0.3260117663792563</v>
      </c>
      <c r="H2966" t="n">
        <v>0.007757311837874</v>
      </c>
      <c r="I2966" t="n">
        <v>0.91693403545319</v>
      </c>
      <c r="J2966" t="n">
        <v>0.0004251486493706</v>
      </c>
      <c r="K2966" t="n">
        <v>0.9462943798944812</v>
      </c>
      <c r="L2966" t="b">
        <v>0</v>
      </c>
      <c r="M2966" t="b">
        <v>0</v>
      </c>
      <c r="N2966" t="inlineStr">
        <is>
          <t>alt</t>
        </is>
      </c>
      <c r="O2966" t="n">
        <v>45</v>
      </c>
      <c r="P2966" t="n">
        <v>0.01512</v>
      </c>
      <c r="Q2966" t="n">
        <v>-55</v>
      </c>
      <c r="R2966" t="n">
        <v>0.02588</v>
      </c>
      <c r="S2966">
        <f>IMAGE("https://mitra.stanford.edu/kundaje/oak/projects/neuro-variants/variant_position/credible/roussos_2024/variant_figures/roussos_2024.childhood.Astrocyte/rs6531289_count_position.png",4,220,900)</f>
        <v/>
      </c>
      <c r="T2966">
        <f>IMAGE("https://mitra.stanford.edu/kundaje/oak/projects/neuro-variants/variant_position/credible/roussos_2024/variant_figures/roussos_2024.childhood.Astrocyte/rs6531289_profile_position.png",4,220,900)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0.040081016</v>
      </c>
      <c r="G2967" t="n">
        <v>0.2776231785475056</v>
      </c>
      <c r="H2967" t="n">
        <v>0.008870792708083801</v>
      </c>
      <c r="I2967" t="n">
        <v>0.8263474598370517</v>
      </c>
      <c r="J2967" t="n">
        <v>0.0362223596131681</v>
      </c>
      <c r="K2967" t="n">
        <v>0.5040649368201444</v>
      </c>
      <c r="L2967" t="b">
        <v>0</v>
      </c>
      <c r="M2967" t="b">
        <v>0</v>
      </c>
      <c r="N2967" t="inlineStr">
        <is>
          <t>alt</t>
        </is>
      </c>
      <c r="O2967" t="n">
        <v>10</v>
      </c>
      <c r="P2967" t="n">
        <v>0.002838</v>
      </c>
      <c r="Q2967" t="n">
        <v>30</v>
      </c>
      <c r="R2967" t="n">
        <v>0.02588</v>
      </c>
      <c r="S2967">
        <f>IMAGE("https://mitra.stanford.edu/kundaje/oak/projects/neuro-variants/variant_position/credible/roussos_2024/variant_figures/roussos_2024.childhood.Astrocyte/rs6824096_count_position.png",4,220,900)</f>
        <v/>
      </c>
      <c r="T2967">
        <f>IMAGE("https://mitra.stanford.edu/kundaje/oak/projects/neuro-variants/variant_position/credible/roussos_2024/variant_figures/roussos_2024.childhood.Astrocyte/rs6824096_profile_position.png",4,220,900)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0.08912802340000001</v>
      </c>
      <c r="G2968" t="n">
        <v>0.0886787340815159</v>
      </c>
      <c r="H2968" t="n">
        <v>0.0173549292192184</v>
      </c>
      <c r="I2968" t="n">
        <v>0.1996915637530544</v>
      </c>
      <c r="J2968" t="n">
        <v>0.6534534740827247</v>
      </c>
      <c r="K2968" t="n">
        <v>0.0235575752740011</v>
      </c>
      <c r="L2968" t="b">
        <v>0</v>
      </c>
      <c r="M2968" t="b">
        <v>0</v>
      </c>
      <c r="N2968" t="inlineStr">
        <is>
          <t>alt</t>
        </is>
      </c>
      <c r="O2968" t="n">
        <v>-100</v>
      </c>
      <c r="P2968" t="n">
        <v>0.01294</v>
      </c>
      <c r="Q2968" t="n">
        <v>-100</v>
      </c>
      <c r="R2968" t="n">
        <v>0.1113</v>
      </c>
      <c r="S2968">
        <f>IMAGE("https://mitra.stanford.edu/kundaje/oak/projects/neuro-variants/variant_position/credible/roussos_2024/variant_figures/roussos_2024.childhood.Astrocyte/rs59339146_count_position.png",4,220,900)</f>
        <v/>
      </c>
      <c r="T2968">
        <f>IMAGE("https://mitra.stanford.edu/kundaje/oak/projects/neuro-variants/variant_position/credible/roussos_2024/variant_figures/roussos_2024.childhood.Astrocyte/rs59339146_profile_position.png",4,220,900)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-0.0279771682</v>
      </c>
      <c r="G2969" t="n">
        <v>0.4159387072882848</v>
      </c>
      <c r="H2969" t="n">
        <v>0.0080626249225798</v>
      </c>
      <c r="I2969" t="n">
        <v>0.8769779837798148</v>
      </c>
      <c r="J2969" t="n">
        <v>0.0043690320807858</v>
      </c>
      <c r="K2969" t="n">
        <v>0.8059284913610679</v>
      </c>
      <c r="L2969" t="b">
        <v>0</v>
      </c>
      <c r="M2969" t="b">
        <v>0</v>
      </c>
      <c r="N2969" t="inlineStr">
        <is>
          <t>ref</t>
        </is>
      </c>
      <c r="O2969" t="n">
        <v>-95</v>
      </c>
      <c r="P2969" t="n">
        <v>0.02348</v>
      </c>
      <c r="Q2969" t="n">
        <v>-100</v>
      </c>
      <c r="R2969" t="n">
        <v>0.1131</v>
      </c>
      <c r="S2969">
        <f>IMAGE("https://mitra.stanford.edu/kundaje/oak/projects/neuro-variants/variant_position/credible/roussos_2024/variant_figures/roussos_2024.childhood.Astrocyte/rs35776025_count_position.png",4,220,900)</f>
        <v/>
      </c>
      <c r="T2969">
        <f>IMAGE("https://mitra.stanford.edu/kundaje/oak/projects/neuro-variants/variant_position/credible/roussos_2024/variant_figures/roussos_2024.childhood.Astrocyte/rs35776025_profile_position.png",4,220,900)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0.025297623</v>
      </c>
      <c r="G2970" t="n">
        <v>0.3088474020479315</v>
      </c>
      <c r="H2970" t="n">
        <v>0.0131189950594398</v>
      </c>
      <c r="I2970" t="n">
        <v>0.423944352221811</v>
      </c>
      <c r="J2970" t="n">
        <v>0.0044247517421934</v>
      </c>
      <c r="K2970" t="n">
        <v>0.800792232982553</v>
      </c>
      <c r="L2970" t="b">
        <v>0</v>
      </c>
      <c r="M2970" t="b">
        <v>0</v>
      </c>
      <c r="N2970" t="inlineStr">
        <is>
          <t>alt</t>
        </is>
      </c>
      <c r="O2970" t="n">
        <v>-100</v>
      </c>
      <c r="P2970" t="n">
        <v>0.01515</v>
      </c>
      <c r="Q2970" t="n">
        <v>100</v>
      </c>
      <c r="R2970" t="n">
        <v>0.08734</v>
      </c>
      <c r="S2970">
        <f>IMAGE("https://mitra.stanford.edu/kundaje/oak/projects/neuro-variants/variant_position/credible/roussos_2024/variant_figures/roussos_2024.childhood.Astrocyte/rs6844408_count_position.png",4,220,900)</f>
        <v/>
      </c>
      <c r="T2970">
        <f>IMAGE("https://mitra.stanford.edu/kundaje/oak/projects/neuro-variants/variant_position/credible/roussos_2024/variant_figures/roussos_2024.childhood.Astrocyte/rs6844408_profile_position.png",4,220,900)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-0.00570933072</v>
      </c>
      <c r="G2971" t="n">
        <v>0.8172039984795644</v>
      </c>
      <c r="H2971" t="n">
        <v>0.0363322678692591</v>
      </c>
      <c r="I2971" t="n">
        <v>0.0140939753799926</v>
      </c>
      <c r="J2971" t="n">
        <v>0.3218253150450719</v>
      </c>
      <c r="K2971" t="n">
        <v>0.1207107588527439</v>
      </c>
      <c r="L2971" t="b">
        <v>1</v>
      </c>
      <c r="M2971" t="b">
        <v>0</v>
      </c>
      <c r="N2971" t="inlineStr">
        <is>
          <t>ref</t>
        </is>
      </c>
      <c r="O2971" t="n">
        <v>-90</v>
      </c>
      <c r="P2971" t="n">
        <v>0.006073</v>
      </c>
      <c r="Q2971" t="n">
        <v>75</v>
      </c>
      <c r="R2971" t="n">
        <v>0.08167000000000001</v>
      </c>
      <c r="S2971">
        <f>IMAGE("https://mitra.stanford.edu/kundaje/oak/projects/neuro-variants/variant_position/credible/roussos_2024/variant_figures/roussos_2024.childhood.Astrocyte/rs10461117_count_position.png",4,220,900)</f>
        <v/>
      </c>
      <c r="T2971">
        <f>IMAGE("https://mitra.stanford.edu/kundaje/oak/projects/neuro-variants/variant_position/credible/roussos_2024/variant_figures/roussos_2024.childhood.Astrocyte/rs10461117_profile_position.png",4,220,900)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-0.0525818536</v>
      </c>
      <c r="G2972" t="n">
        <v>0.2039312549796333</v>
      </c>
      <c r="H2972" t="n">
        <v>0.06516801687414051</v>
      </c>
      <c r="I2972" t="n">
        <v>0.0015424731804719</v>
      </c>
      <c r="J2972" t="n">
        <v>0.0068199338996893</v>
      </c>
      <c r="K2972" t="n">
        <v>0.7366730214165589</v>
      </c>
      <c r="L2972" t="b">
        <v>0</v>
      </c>
      <c r="M2972" t="b">
        <v>0</v>
      </c>
      <c r="N2972" t="inlineStr">
        <is>
          <t>ref</t>
        </is>
      </c>
      <c r="O2972" t="n">
        <v>-100</v>
      </c>
      <c r="P2972" t="n">
        <v>0.002808</v>
      </c>
      <c r="Q2972" t="n">
        <v>90</v>
      </c>
      <c r="R2972" t="n">
        <v>0.11273</v>
      </c>
      <c r="S2972">
        <f>IMAGE("https://mitra.stanford.edu/kundaje/oak/projects/neuro-variants/variant_position/credible/roussos_2024/variant_figures/roussos_2024.childhood.Astrocyte/rs113731541_count_position.png",4,220,900)</f>
        <v/>
      </c>
      <c r="T2972">
        <f>IMAGE("https://mitra.stanford.edu/kundaje/oak/projects/neuro-variants/variant_position/credible/roussos_2024/variant_figures/roussos_2024.childhood.Astrocyte/rs113731541_profile_position.png",4,220,900)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0.0245274916</v>
      </c>
      <c r="G2973" t="n">
        <v>0.4548677860989888</v>
      </c>
      <c r="H2973" t="n">
        <v>0.0311712279416275</v>
      </c>
      <c r="I2973" t="n">
        <v>0.0259934390366541</v>
      </c>
      <c r="J2973" t="n">
        <v>0.0072527153793898</v>
      </c>
      <c r="K2973" t="n">
        <v>0.7289328873858165</v>
      </c>
      <c r="L2973" t="b">
        <v>0</v>
      </c>
      <c r="M2973" t="b">
        <v>0</v>
      </c>
      <c r="N2973" t="inlineStr">
        <is>
          <t>alt</t>
        </is>
      </c>
      <c r="O2973" t="n">
        <v>-80</v>
      </c>
      <c r="P2973" t="n">
        <v>0.002075</v>
      </c>
      <c r="Q2973" t="n">
        <v>65</v>
      </c>
      <c r="R2973" t="n">
        <v>0.0751</v>
      </c>
      <c r="S2973">
        <f>IMAGE("https://mitra.stanford.edu/kundaje/oak/projects/neuro-variants/variant_position/credible/roussos_2024/variant_figures/roussos_2024.childhood.Astrocyte/rs34334195_count_position.png",4,220,900)</f>
        <v/>
      </c>
      <c r="T2973">
        <f>IMAGE("https://mitra.stanford.edu/kundaje/oak/projects/neuro-variants/variant_position/credible/roussos_2024/variant_figures/roussos_2024.childhood.Astrocyte/rs34334195_profile_position.png",4,220,900)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0.00258862802</v>
      </c>
      <c r="G2974" t="n">
        <v>0.8669812522909236</v>
      </c>
      <c r="H2974" t="n">
        <v>0.0344738733916255</v>
      </c>
      <c r="I2974" t="n">
        <v>0.0173651692477363</v>
      </c>
      <c r="J2974" t="n">
        <v>0.0042041629456618</v>
      </c>
      <c r="K2974" t="n">
        <v>0.7913650126948417</v>
      </c>
      <c r="L2974" t="b">
        <v>0</v>
      </c>
      <c r="M2974" t="b">
        <v>0</v>
      </c>
      <c r="N2974" t="inlineStr">
        <is>
          <t>alt</t>
        </is>
      </c>
      <c r="O2974" t="n">
        <v>-75</v>
      </c>
      <c r="P2974" t="n">
        <v>0.0327</v>
      </c>
      <c r="Q2974" t="n">
        <v>-75</v>
      </c>
      <c r="R2974" t="n">
        <v>0.04767</v>
      </c>
      <c r="S2974">
        <f>IMAGE("https://mitra.stanford.edu/kundaje/oak/projects/neuro-variants/variant_position/credible/roussos_2024/variant_figures/roussos_2024.childhood.Astrocyte/rs35361741_count_position.png",4,220,900)</f>
        <v/>
      </c>
      <c r="T2974">
        <f>IMAGE("https://mitra.stanford.edu/kundaje/oak/projects/neuro-variants/variant_position/credible/roussos_2024/variant_figures/roussos_2024.childhood.Astrocyte/rs35361741_profile_position.png",4,220,900)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-0.06534932540000001</v>
      </c>
      <c r="G2975" t="n">
        <v>0.1511241650767178</v>
      </c>
      <c r="H2975" t="n">
        <v>0.0141844666621087</v>
      </c>
      <c r="I2975" t="n">
        <v>0.3517988916463899</v>
      </c>
      <c r="J2975" t="n">
        <v>0.0017876088632425</v>
      </c>
      <c r="K2975" t="n">
        <v>0.8775050769576869</v>
      </c>
      <c r="L2975" t="b">
        <v>0</v>
      </c>
      <c r="M2975" t="b">
        <v>0</v>
      </c>
      <c r="N2975" t="inlineStr">
        <is>
          <t>ref</t>
        </is>
      </c>
      <c r="O2975" t="n">
        <v>-5</v>
      </c>
      <c r="P2975" t="n">
        <v>0.001812</v>
      </c>
      <c r="Q2975" t="n">
        <v>-40</v>
      </c>
      <c r="R2975" t="n">
        <v>0.0939</v>
      </c>
      <c r="S2975">
        <f>IMAGE("https://mitra.stanford.edu/kundaje/oak/projects/neuro-variants/variant_position/credible/roussos_2024/variant_figures/roussos_2024.childhood.Astrocyte/rs13146184_count_position.png",4,220,900)</f>
        <v/>
      </c>
      <c r="T2975">
        <f>IMAGE("https://mitra.stanford.edu/kundaje/oak/projects/neuro-variants/variant_position/credible/roussos_2024/variant_figures/roussos_2024.childhood.Astrocyte/rs13146184_profile_position.png",4,220,900)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0.00896541214</v>
      </c>
      <c r="G2976" t="n">
        <v>0.7008524654832139</v>
      </c>
      <c r="H2976" t="n">
        <v>0.0330422696803263</v>
      </c>
      <c r="I2976" t="n">
        <v>0.0203958090399858</v>
      </c>
      <c r="J2976" t="n">
        <v>0.0003556898933693</v>
      </c>
      <c r="K2976" t="n">
        <v>0.959402512614588</v>
      </c>
      <c r="L2976" t="b">
        <v>0</v>
      </c>
      <c r="M2976" t="b">
        <v>0</v>
      </c>
      <c r="N2976" t="inlineStr">
        <is>
          <t>alt</t>
        </is>
      </c>
      <c r="O2976" t="n">
        <v>90</v>
      </c>
      <c r="P2976" t="n">
        <v>0.007145</v>
      </c>
      <c r="Q2976" t="n">
        <v>85</v>
      </c>
      <c r="R2976" t="n">
        <v>0.2937</v>
      </c>
      <c r="S2976">
        <f>IMAGE("https://mitra.stanford.edu/kundaje/oak/projects/neuro-variants/variant_position/credible/roussos_2024/variant_figures/roussos_2024.childhood.Astrocyte/rs3924935_count_position.png",4,220,900)</f>
        <v/>
      </c>
      <c r="T2976">
        <f>IMAGE("https://mitra.stanford.edu/kundaje/oak/projects/neuro-variants/variant_position/credible/roussos_2024/variant_figures/roussos_2024.childhood.Astrocyte/rs3924935_profile_position.png",4,220,900)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0.0071322652</v>
      </c>
      <c r="G2977" t="n">
        <v>0.7436581747876726</v>
      </c>
      <c r="H2977" t="n">
        <v>0.0329286592532853</v>
      </c>
      <c r="I2977" t="n">
        <v>0.0205570911102322</v>
      </c>
      <c r="J2977" t="n">
        <v>0.019345408470915</v>
      </c>
      <c r="K2977" t="n">
        <v>0.5975255588975201</v>
      </c>
      <c r="L2977" t="b">
        <v>0</v>
      </c>
      <c r="M2977" t="b">
        <v>0</v>
      </c>
      <c r="N2977" t="inlineStr">
        <is>
          <t>alt</t>
        </is>
      </c>
      <c r="O2977" t="n">
        <v>-25</v>
      </c>
      <c r="P2977" t="n">
        <v>0.001701</v>
      </c>
      <c r="Q2977" t="n">
        <v>20</v>
      </c>
      <c r="R2977" t="n">
        <v>0.04858</v>
      </c>
      <c r="S2977">
        <f>IMAGE("https://mitra.stanford.edu/kundaje/oak/projects/neuro-variants/variant_position/credible/roussos_2024/variant_figures/roussos_2024.childhood.Astrocyte/rs35921722_count_position.png",4,220,900)</f>
        <v/>
      </c>
      <c r="T2977">
        <f>IMAGE("https://mitra.stanford.edu/kundaje/oak/projects/neuro-variants/variant_position/credible/roussos_2024/variant_figures/roussos_2024.childhood.Astrocyte/rs35921722_profile_position.png",4,220,900)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0.004181256186</v>
      </c>
      <c r="G2978" t="n">
        <v>0.8653442242326439</v>
      </c>
      <c r="H2978" t="n">
        <v>0.0249940468447516</v>
      </c>
      <c r="I2978" t="n">
        <v>0.0590131210400064</v>
      </c>
      <c r="J2978" t="n">
        <v>0.0047598329936723</v>
      </c>
      <c r="K2978" t="n">
        <v>0.7812187802710686</v>
      </c>
      <c r="L2978" t="b">
        <v>0</v>
      </c>
      <c r="M2978" t="b">
        <v>0</v>
      </c>
      <c r="N2978" t="inlineStr">
        <is>
          <t>alt</t>
        </is>
      </c>
      <c r="O2978" t="n">
        <v>-50</v>
      </c>
      <c r="P2978" t="n">
        <v>0.009549999999999999</v>
      </c>
      <c r="Q2978" t="n">
        <v>-90</v>
      </c>
      <c r="R2978" t="n">
        <v>0.03069</v>
      </c>
      <c r="S2978">
        <f>IMAGE("https://mitra.stanford.edu/kundaje/oak/projects/neuro-variants/variant_position/credible/roussos_2024/variant_figures/roussos_2024.childhood.Astrocyte/rs9985883_count_position.png",4,220,900)</f>
        <v/>
      </c>
      <c r="T2978">
        <f>IMAGE("https://mitra.stanford.edu/kundaje/oak/projects/neuro-variants/variant_position/credible/roussos_2024/variant_figures/roussos_2024.childhood.Astrocyte/rs9985883_profile_position.png",4,220,900)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0.00276348418</v>
      </c>
      <c r="G2979" t="n">
        <v>0.828020611981778</v>
      </c>
      <c r="H2979" t="n">
        <v>0.0136284584796091</v>
      </c>
      <c r="I2979" t="n">
        <v>0.3823982782347402</v>
      </c>
      <c r="J2979" t="n">
        <v>0.000243487287521</v>
      </c>
      <c r="K2979" t="n">
        <v>0.9645686473561164</v>
      </c>
      <c r="L2979" t="b">
        <v>0</v>
      </c>
      <c r="M2979" t="b">
        <v>0</v>
      </c>
      <c r="N2979" t="inlineStr">
        <is>
          <t>alt</t>
        </is>
      </c>
      <c r="O2979" t="n">
        <v>-70</v>
      </c>
      <c r="P2979" t="n">
        <v>7.63e-05</v>
      </c>
      <c r="Q2979" t="n">
        <v>20</v>
      </c>
      <c r="R2979" t="n">
        <v>0.010544</v>
      </c>
      <c r="S2979">
        <f>IMAGE("https://mitra.stanford.edu/kundaje/oak/projects/neuro-variants/variant_position/credible/roussos_2024/variant_figures/roussos_2024.childhood.Astrocyte/rs13152643_count_position.png",4,220,900)</f>
        <v/>
      </c>
      <c r="T2979">
        <f>IMAGE("https://mitra.stanford.edu/kundaje/oak/projects/neuro-variants/variant_position/credible/roussos_2024/variant_figures/roussos_2024.childhood.Astrocyte/rs13152643_profile_position.png",4,220,900)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-0.0013535793399999</v>
      </c>
      <c r="G2980" t="n">
        <v>0.8764353560863607</v>
      </c>
      <c r="H2980" t="n">
        <v>0.0302189837932316</v>
      </c>
      <c r="I2980" t="n">
        <v>0.029450604595479</v>
      </c>
      <c r="J2980" t="n">
        <v>0.0047972338622884</v>
      </c>
      <c r="K2980" t="n">
        <v>0.7867306442047319</v>
      </c>
      <c r="L2980" t="b">
        <v>0</v>
      </c>
      <c r="M2980" t="b">
        <v>0</v>
      </c>
      <c r="N2980" t="inlineStr">
        <is>
          <t>ref</t>
        </is>
      </c>
      <c r="O2980" t="n">
        <v>0</v>
      </c>
      <c r="P2980" t="n">
        <v>0</v>
      </c>
      <c r="Q2980" t="n">
        <v>-70</v>
      </c>
      <c r="R2980" t="n">
        <v>0.03192</v>
      </c>
      <c r="S2980">
        <f>IMAGE("https://mitra.stanford.edu/kundaje/oak/projects/neuro-variants/variant_position/credible/roussos_2024/variant_figures/roussos_2024.childhood.Astrocyte/rs10022287_count_position.png",4,220,900)</f>
        <v/>
      </c>
      <c r="T2980">
        <f>IMAGE("https://mitra.stanford.edu/kundaje/oak/projects/neuro-variants/variant_position/credible/roussos_2024/variant_figures/roussos_2024.childhood.Astrocyte/rs10022287_profile_position.png",4,220,900)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-0.14959059</v>
      </c>
      <c r="G2981" t="n">
        <v>0.0346076623873178</v>
      </c>
      <c r="H2981" t="n">
        <v>0.0255226145060947</v>
      </c>
      <c r="I2981" t="n">
        <v>0.0601513198029469</v>
      </c>
      <c r="J2981" t="n">
        <v>0.0050338516025126</v>
      </c>
      <c r="K2981" t="n">
        <v>0.77189554737364</v>
      </c>
      <c r="L2981" t="b">
        <v>0</v>
      </c>
      <c r="M2981" t="b">
        <v>0</v>
      </c>
      <c r="N2981" t="inlineStr">
        <is>
          <t>ref</t>
        </is>
      </c>
      <c r="O2981" t="n">
        <v>65</v>
      </c>
      <c r="P2981" t="n">
        <v>0.0461</v>
      </c>
      <c r="Q2981" t="n">
        <v>65</v>
      </c>
      <c r="R2981" t="n">
        <v>0.0321</v>
      </c>
      <c r="S2981">
        <f>IMAGE("https://mitra.stanford.edu/kundaje/oak/projects/neuro-variants/variant_position/credible/roussos_2024/variant_figures/roussos_2024.childhood.Astrocyte/rs10010927_count_position.png",4,220,900)</f>
        <v/>
      </c>
      <c r="T2981">
        <f>IMAGE("https://mitra.stanford.edu/kundaje/oak/projects/neuro-variants/variant_position/credible/roussos_2024/variant_figures/roussos_2024.childhood.Astrocyte/rs10010927_profile_position.png",4,220,900)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-0.0572426123999999</v>
      </c>
      <c r="G2982" t="n">
        <v>0.1878371025943619</v>
      </c>
      <c r="H2982" t="n">
        <v>0.012818188776233</v>
      </c>
      <c r="I2982" t="n">
        <v>0.4470618956243374</v>
      </c>
      <c r="J2982" t="n">
        <v>0.0005518536328455</v>
      </c>
      <c r="K2982" t="n">
        <v>0.944131527060648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0.03265</v>
      </c>
      <c r="Q2982" t="n">
        <v>85</v>
      </c>
      <c r="R2982" t="n">
        <v>0.06279999999999999</v>
      </c>
      <c r="S2982">
        <f>IMAGE("https://mitra.stanford.edu/kundaje/oak/projects/neuro-variants/variant_position/credible/roussos_2024/variant_figures/roussos_2024.childhood.Astrocyte/rs28473456_count_position.png",4,220,900)</f>
        <v/>
      </c>
      <c r="T2982">
        <f>IMAGE("https://mitra.stanford.edu/kundaje/oak/projects/neuro-variants/variant_position/credible/roussos_2024/variant_figures/roussos_2024.childhood.Astrocyte/rs28473456_profile_position.png",4,220,900)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-0.05952285</v>
      </c>
      <c r="G2983" t="n">
        <v>0.1693895501522857</v>
      </c>
      <c r="H2983" t="n">
        <v>0.0108864787080686</v>
      </c>
      <c r="I2983" t="n">
        <v>0.6298215354119852</v>
      </c>
      <c r="J2983" t="n">
        <v>0.0004953706884049</v>
      </c>
      <c r="K2983" t="n">
        <v>0.9420410738479632</v>
      </c>
      <c r="L2983" t="b">
        <v>0</v>
      </c>
      <c r="M2983" t="b">
        <v>0</v>
      </c>
      <c r="N2983" t="inlineStr">
        <is>
          <t>ref</t>
        </is>
      </c>
      <c r="O2983" t="n">
        <v>100</v>
      </c>
      <c r="P2983" t="n">
        <v>0.00876</v>
      </c>
      <c r="Q2983" t="n">
        <v>100</v>
      </c>
      <c r="R2983" t="n">
        <v>0.08119999999999999</v>
      </c>
      <c r="S2983">
        <f>IMAGE("https://mitra.stanford.edu/kundaje/oak/projects/neuro-variants/variant_position/credible/roussos_2024/variant_figures/roussos_2024.childhood.Astrocyte/rs6854464_count_position.png",4,220,900)</f>
        <v/>
      </c>
      <c r="T2983">
        <f>IMAGE("https://mitra.stanford.edu/kundaje/oak/projects/neuro-variants/variant_position/credible/roussos_2024/variant_figures/roussos_2024.childhood.Astrocyte/rs6854464_profile_position.png",4,220,900)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0.0753827656</v>
      </c>
      <c r="G2984" t="n">
        <v>0.1131933900532166</v>
      </c>
      <c r="H2984" t="n">
        <v>0.0125586592784117</v>
      </c>
      <c r="I2984" t="n">
        <v>0.4660956086831608</v>
      </c>
      <c r="J2984" t="n">
        <v>0.0011800355689893</v>
      </c>
      <c r="K2984" t="n">
        <v>0.9061987148991842</v>
      </c>
      <c r="L2984" t="b">
        <v>0</v>
      </c>
      <c r="M2984" t="b">
        <v>0</v>
      </c>
      <c r="N2984" t="inlineStr">
        <is>
          <t>alt</t>
        </is>
      </c>
      <c r="O2984" t="n">
        <v>100</v>
      </c>
      <c r="P2984" t="n">
        <v>0.001923</v>
      </c>
      <c r="Q2984" t="n">
        <v>-10</v>
      </c>
      <c r="R2984" t="n">
        <v>0.005493</v>
      </c>
      <c r="S2984">
        <f>IMAGE("https://mitra.stanford.edu/kundaje/oak/projects/neuro-variants/variant_position/credible/roussos_2024/variant_figures/roussos_2024.childhood.Astrocyte/rs34045875_count_position.png",4,220,900)</f>
        <v/>
      </c>
      <c r="T2984">
        <f>IMAGE("https://mitra.stanford.edu/kundaje/oak/projects/neuro-variants/variant_position/credible/roussos_2024/variant_figures/roussos_2024.childhood.Astrocyte/rs34045875_profile_position.png",4,220,900)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0.1225358194</v>
      </c>
      <c r="G2985" t="n">
        <v>0.0515949750656329</v>
      </c>
      <c r="H2985" t="n">
        <v>0.0279109940746629</v>
      </c>
      <c r="I2985" t="n">
        <v>0.0426018357388832</v>
      </c>
      <c r="J2985" t="n">
        <v>0.0200980055414347</v>
      </c>
      <c r="K2985" t="n">
        <v>0.5990743779175431</v>
      </c>
      <c r="L2985" t="b">
        <v>0</v>
      </c>
      <c r="M2985" t="b">
        <v>0</v>
      </c>
      <c r="N2985" t="inlineStr">
        <is>
          <t>alt</t>
        </is>
      </c>
      <c r="O2985" t="n">
        <v>50</v>
      </c>
      <c r="P2985" t="n">
        <v>0.10175</v>
      </c>
      <c r="Q2985" t="n">
        <v>-65</v>
      </c>
      <c r="R2985" t="n">
        <v>0.0581</v>
      </c>
      <c r="S2985">
        <f>IMAGE("https://mitra.stanford.edu/kundaje/oak/projects/neuro-variants/variant_position/credible/roussos_2024/variant_figures/roussos_2024.childhood.Astrocyte/rs13149553_count_position.png",4,220,900)</f>
        <v/>
      </c>
      <c r="T2985">
        <f>IMAGE("https://mitra.stanford.edu/kundaje/oak/projects/neuro-variants/variant_position/credible/roussos_2024/variant_figures/roussos_2024.childhood.Astrocyte/rs13149553_profile_position.png",4,220,900)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0.00358533334</v>
      </c>
      <c r="G2986" t="n">
        <v>0.8402377591811248</v>
      </c>
      <c r="H2986" t="n">
        <v>0.0407323902304091</v>
      </c>
      <c r="I2986" t="n">
        <v>0.0092563528791412</v>
      </c>
      <c r="J2986" t="n">
        <v>0.0099539740331111</v>
      </c>
      <c r="K2986" t="n">
        <v>0.6987434772459036</v>
      </c>
      <c r="L2986" t="b">
        <v>0</v>
      </c>
      <c r="M2986" t="b">
        <v>0</v>
      </c>
      <c r="N2986" t="inlineStr">
        <is>
          <t>alt</t>
        </is>
      </c>
      <c r="O2986" t="n">
        <v>-60</v>
      </c>
      <c r="P2986" t="n">
        <v>0.01184</v>
      </c>
      <c r="Q2986" t="n">
        <v>25</v>
      </c>
      <c r="R2986" t="n">
        <v>0.0655</v>
      </c>
      <c r="S2986">
        <f>IMAGE("https://mitra.stanford.edu/kundaje/oak/projects/neuro-variants/variant_position/credible/roussos_2024/variant_figures/roussos_2024.childhood.Astrocyte/rs13149360_count_position.png",4,220,900)</f>
        <v/>
      </c>
      <c r="T2986">
        <f>IMAGE("https://mitra.stanford.edu/kundaje/oak/projects/neuro-variants/variant_position/credible/roussos_2024/variant_figures/roussos_2024.childhood.Astrocyte/rs13149360_profile_position.png",4,220,900)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-0.0373097359999999</v>
      </c>
      <c r="G2987" t="n">
        <v>0.3102920059968674</v>
      </c>
      <c r="H2987" t="n">
        <v>0.0108393430310108</v>
      </c>
      <c r="I2987" t="n">
        <v>0.6164768410747075</v>
      </c>
      <c r="J2987" t="n">
        <v>0.0019112607145855</v>
      </c>
      <c r="K2987" t="n">
        <v>0.8714506561366474</v>
      </c>
      <c r="L2987" t="b">
        <v>0</v>
      </c>
      <c r="M2987" t="b">
        <v>0</v>
      </c>
      <c r="N2987" t="inlineStr">
        <is>
          <t>ref</t>
        </is>
      </c>
      <c r="O2987" t="n">
        <v>90</v>
      </c>
      <c r="P2987" t="n">
        <v>0.1743</v>
      </c>
      <c r="Q2987" t="n">
        <v>-45</v>
      </c>
      <c r="R2987" t="n">
        <v>0.0789</v>
      </c>
      <c r="S2987">
        <f>IMAGE("https://mitra.stanford.edu/kundaje/oak/projects/neuro-variants/variant_position/credible/roussos_2024/variant_figures/roussos_2024.childhood.Astrocyte/rs3924385_count_position.png",4,220,900)</f>
        <v/>
      </c>
      <c r="T2987">
        <f>IMAGE("https://mitra.stanford.edu/kundaje/oak/projects/neuro-variants/variant_position/credible/roussos_2024/variant_figures/roussos_2024.childhood.Astrocyte/rs3924385_profile_position.png",4,220,900)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-0.02290985224</v>
      </c>
      <c r="G2988" t="n">
        <v>0.4991703060051245</v>
      </c>
      <c r="H2988" t="n">
        <v>0.0112211962516567</v>
      </c>
      <c r="I2988" t="n">
        <v>0.5888058901069386</v>
      </c>
      <c r="J2988" t="n">
        <v>0.0053376382496393</v>
      </c>
      <c r="K2988" t="n">
        <v>0.76397531979424</v>
      </c>
      <c r="L2988" t="b">
        <v>0</v>
      </c>
      <c r="M2988" t="b">
        <v>0</v>
      </c>
      <c r="N2988" t="inlineStr">
        <is>
          <t>ref</t>
        </is>
      </c>
      <c r="O2988" t="n">
        <v>-95</v>
      </c>
      <c r="P2988" t="n">
        <v>0.01624</v>
      </c>
      <c r="Q2988" t="n">
        <v>-100</v>
      </c>
      <c r="R2988" t="n">
        <v>0.0998</v>
      </c>
      <c r="S2988">
        <f>IMAGE("https://mitra.stanford.edu/kundaje/oak/projects/neuro-variants/variant_position/credible/roussos_2024/variant_figures/roussos_2024.childhood.Astrocyte/rs28491432_count_position.png",4,220,900)</f>
        <v/>
      </c>
      <c r="T2988">
        <f>IMAGE("https://mitra.stanford.edu/kundaje/oak/projects/neuro-variants/variant_position/credible/roussos_2024/variant_figures/roussos_2024.childhood.Astrocyte/rs28491432_profile_position.png",4,220,900)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0.0935062852</v>
      </c>
      <c r="G2989" t="n">
        <v>0.0831308494042126</v>
      </c>
      <c r="H2989" t="n">
        <v>0.041265410882386</v>
      </c>
      <c r="I2989" t="n">
        <v>0.0088502949498592</v>
      </c>
      <c r="J2989" t="n">
        <v>0.0022509216642622</v>
      </c>
      <c r="K2989" t="n">
        <v>0.8567010290809338</v>
      </c>
      <c r="L2989" t="b">
        <v>0</v>
      </c>
      <c r="M2989" t="b">
        <v>0</v>
      </c>
      <c r="N2989" t="inlineStr">
        <is>
          <t>alt</t>
        </is>
      </c>
      <c r="O2989" t="n">
        <v>35</v>
      </c>
      <c r="P2989" t="n">
        <v>0.00464</v>
      </c>
      <c r="Q2989" t="n">
        <v>100</v>
      </c>
      <c r="R2989" t="n">
        <v>0.2039</v>
      </c>
      <c r="S2989">
        <f>IMAGE("https://mitra.stanford.edu/kundaje/oak/projects/neuro-variants/variant_position/credible/roussos_2024/variant_figures/roussos_2024.childhood.Astrocyte/rs13126801_count_position.png",4,220,900)</f>
        <v/>
      </c>
      <c r="T2989">
        <f>IMAGE("https://mitra.stanford.edu/kundaje/oak/projects/neuro-variants/variant_position/credible/roussos_2024/variant_figures/roussos_2024.childhood.Astrocyte/rs13126801_profile_position.png",4,220,900)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-0.0328297705999999</v>
      </c>
      <c r="G2990" t="n">
        <v>0.3578542954219275</v>
      </c>
      <c r="H2990" t="n">
        <v>0.0573360419162989</v>
      </c>
      <c r="I2990" t="n">
        <v>0.0024381363199432</v>
      </c>
      <c r="J2990" t="n">
        <v>0.0042713318525642</v>
      </c>
      <c r="K2990" t="n">
        <v>0.7876602850221677</v>
      </c>
      <c r="L2990" t="b">
        <v>0</v>
      </c>
      <c r="M2990" t="b">
        <v>0</v>
      </c>
      <c r="N2990" t="inlineStr">
        <is>
          <t>ref</t>
        </is>
      </c>
      <c r="O2990" t="n">
        <v>-60</v>
      </c>
      <c r="P2990" t="n">
        <v>0.01141</v>
      </c>
      <c r="Q2990" t="n">
        <v>100</v>
      </c>
      <c r="R2990" t="n">
        <v>0.1578</v>
      </c>
      <c r="S2990">
        <f>IMAGE("https://mitra.stanford.edu/kundaje/oak/projects/neuro-variants/variant_position/credible/roussos_2024/variant_figures/roussos_2024.childhood.Astrocyte/rs80143073_count_position.png",4,220,900)</f>
        <v/>
      </c>
      <c r="T2990">
        <f>IMAGE("https://mitra.stanford.edu/kundaje/oak/projects/neuro-variants/variant_position/credible/roussos_2024/variant_figures/roussos_2024.childhood.Astrocyte/rs80143073_profile_position.png",4,220,900)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0.00474804612</v>
      </c>
      <c r="G2991" t="n">
        <v>0.86173566044782</v>
      </c>
      <c r="H2991" t="n">
        <v>0.0276013427321739</v>
      </c>
      <c r="I2991" t="n">
        <v>0.040777622372682</v>
      </c>
      <c r="J2991" t="n">
        <v>0.0033225710425682</v>
      </c>
      <c r="K2991" t="n">
        <v>0.8231536078811841</v>
      </c>
      <c r="L2991" t="b">
        <v>0</v>
      </c>
      <c r="M2991" t="b">
        <v>0</v>
      </c>
      <c r="N2991" t="inlineStr">
        <is>
          <t>alt</t>
        </is>
      </c>
      <c r="O2991" t="n">
        <v>0</v>
      </c>
      <c r="P2991" t="n">
        <v>0</v>
      </c>
      <c r="Q2991" t="n">
        <v>100</v>
      </c>
      <c r="R2991" t="n">
        <v>0.01329</v>
      </c>
      <c r="S2991">
        <f>IMAGE("https://mitra.stanford.edu/kundaje/oak/projects/neuro-variants/variant_position/credible/roussos_2024/variant_figures/roussos_2024.childhood.Astrocyte/rs28576298_count_position.png",4,220,900)</f>
        <v/>
      </c>
      <c r="T2991">
        <f>IMAGE("https://mitra.stanford.edu/kundaje/oak/projects/neuro-variants/variant_position/credible/roussos_2024/variant_figures/roussos_2024.childhood.Astrocyte/rs28576298_profile_position.png",4,220,900)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0.0143051498</v>
      </c>
      <c r="G2992" t="n">
        <v>0.6259878873125502</v>
      </c>
      <c r="H2992" t="n">
        <v>0.0279887896700291</v>
      </c>
      <c r="I2992" t="n">
        <v>0.0390747999736036</v>
      </c>
      <c r="J2992" t="n">
        <v>0.0015677833497438</v>
      </c>
      <c r="K2992" t="n">
        <v>0.8864244483256867</v>
      </c>
      <c r="L2992" t="b">
        <v>0</v>
      </c>
      <c r="M2992" t="b">
        <v>0</v>
      </c>
      <c r="N2992" t="inlineStr">
        <is>
          <t>alt</t>
        </is>
      </c>
      <c r="O2992" t="n">
        <v>-95</v>
      </c>
      <c r="P2992" t="n">
        <v>0.02106</v>
      </c>
      <c r="Q2992" t="n">
        <v>-100</v>
      </c>
      <c r="R2992" t="n">
        <v>0.1421</v>
      </c>
      <c r="S2992">
        <f>IMAGE("https://mitra.stanford.edu/kundaje/oak/projects/neuro-variants/variant_position/credible/roussos_2024/variant_figures/roussos_2024.childhood.Astrocyte/rs59815841_count_position.png",4,220,900)</f>
        <v/>
      </c>
      <c r="T2992">
        <f>IMAGE("https://mitra.stanford.edu/kundaje/oak/projects/neuro-variants/variant_position/credible/roussos_2024/variant_figures/roussos_2024.childhood.Astrocyte/rs59815841_profile_position.png",4,220,900)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0.006086353132</v>
      </c>
      <c r="G2993" t="n">
        <v>0.8038986235067475</v>
      </c>
      <c r="H2993" t="n">
        <v>0.0204003602755283</v>
      </c>
      <c r="I2993" t="n">
        <v>0.1202010584722027</v>
      </c>
      <c r="J2993" t="n">
        <v>0.0122430598490225</v>
      </c>
      <c r="K2993" t="n">
        <v>0.6704493803708429</v>
      </c>
      <c r="L2993" t="b">
        <v>0</v>
      </c>
      <c r="M2993" t="b">
        <v>0</v>
      </c>
      <c r="N2993" t="inlineStr">
        <is>
          <t>alt</t>
        </is>
      </c>
      <c r="O2993" t="n">
        <v>-100</v>
      </c>
      <c r="P2993" t="n">
        <v>0.01238</v>
      </c>
      <c r="Q2993" t="n">
        <v>-100</v>
      </c>
      <c r="R2993" t="n">
        <v>0.12427</v>
      </c>
      <c r="S2993">
        <f>IMAGE("https://mitra.stanford.edu/kundaje/oak/projects/neuro-variants/variant_position/credible/roussos_2024/variant_figures/roussos_2024.childhood.Astrocyte/rs7697283_count_position.png",4,220,900)</f>
        <v/>
      </c>
      <c r="T2993">
        <f>IMAGE("https://mitra.stanford.edu/kundaje/oak/projects/neuro-variants/variant_position/credible/roussos_2024/variant_figures/roussos_2024.childhood.Astrocyte/rs7697283_profile_position.png",4,220,900)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0.0991534506</v>
      </c>
      <c r="G2994" t="n">
        <v>0.08018714063840381</v>
      </c>
      <c r="H2994" t="n">
        <v>0.0154714704451359</v>
      </c>
      <c r="I2994" t="n">
        <v>0.2756201453658811</v>
      </c>
      <c r="J2994" t="n">
        <v>0.0450390419271369</v>
      </c>
      <c r="K2994" t="n">
        <v>0.4592131267817853</v>
      </c>
      <c r="L2994" t="b">
        <v>0</v>
      </c>
      <c r="M2994" t="b">
        <v>0</v>
      </c>
      <c r="N2994" t="inlineStr">
        <is>
          <t>alt</t>
        </is>
      </c>
      <c r="O2994" t="n">
        <v>100</v>
      </c>
      <c r="P2994" t="n">
        <v>0.00963</v>
      </c>
      <c r="Q2994" t="n">
        <v>-10</v>
      </c>
      <c r="R2994" t="n">
        <v>0.009766</v>
      </c>
      <c r="S2994">
        <f>IMAGE("https://mitra.stanford.edu/kundaje/oak/projects/neuro-variants/variant_position/credible/roussos_2024/variant_figures/roussos_2024.childhood.Astrocyte/rs9784438_count_position.png",4,220,900)</f>
        <v/>
      </c>
      <c r="T2994">
        <f>IMAGE("https://mitra.stanford.edu/kundaje/oak/projects/neuro-variants/variant_position/credible/roussos_2024/variant_figures/roussos_2024.childhood.Astrocyte/rs9784438_profile_position.png",4,220,900)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-0.335800732</v>
      </c>
      <c r="G2995" t="n">
        <v>0.0043859606409718</v>
      </c>
      <c r="H2995" t="n">
        <v>0.0531072399125984</v>
      </c>
      <c r="I2995" t="n">
        <v>0.0034374865600972</v>
      </c>
      <c r="J2995" t="n">
        <v>0.0529306252051322</v>
      </c>
      <c r="K2995" t="n">
        <v>0.4653044981913209</v>
      </c>
      <c r="L2995" t="b">
        <v>1</v>
      </c>
      <c r="M2995" t="b">
        <v>1</v>
      </c>
      <c r="N2995" t="inlineStr">
        <is>
          <t>ref</t>
        </is>
      </c>
      <c r="O2995" t="n">
        <v>-10</v>
      </c>
      <c r="P2995" t="n">
        <v>0.002258</v>
      </c>
      <c r="Q2995" t="n">
        <v>-45</v>
      </c>
      <c r="R2995" t="n">
        <v>0.04517</v>
      </c>
      <c r="S2995">
        <f>IMAGE("https://mitra.stanford.edu/kundaje/oak/projects/neuro-variants/variant_position/credible/roussos_2024/variant_figures/roussos_2024.childhood.Astrocyte/rs7434297_count_position.png",4,220,900)</f>
        <v/>
      </c>
      <c r="T2995">
        <f>IMAGE("https://mitra.stanford.edu/kundaje/oak/projects/neuro-variants/variant_position/credible/roussos_2024/variant_figures/roussos_2024.childhood.Astrocyte/rs7434297_profile_position.png",4,220,900)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-0.0074538453079999</v>
      </c>
      <c r="G2996" t="n">
        <v>0.7616999427471903</v>
      </c>
      <c r="H2996" t="n">
        <v>0.039672074480832</v>
      </c>
      <c r="I2996" t="n">
        <v>0.0103319901044595</v>
      </c>
      <c r="J2996" t="n">
        <v>0.0004694190652835</v>
      </c>
      <c r="K2996" t="n">
        <v>0.9588287351135908</v>
      </c>
      <c r="L2996" t="b">
        <v>0</v>
      </c>
      <c r="M2996" t="b">
        <v>0</v>
      </c>
      <c r="N2996" t="inlineStr">
        <is>
          <t>ref</t>
        </is>
      </c>
      <c r="O2996" t="n">
        <v>-25</v>
      </c>
      <c r="P2996" t="n">
        <v>0.006783</v>
      </c>
      <c r="Q2996" t="n">
        <v>100</v>
      </c>
      <c r="R2996" t="n">
        <v>0.03485</v>
      </c>
      <c r="S2996">
        <f>IMAGE("https://mitra.stanford.edu/kundaje/oak/projects/neuro-variants/variant_position/credible/roussos_2024/variant_figures/roussos_2024.childhood.Astrocyte/rs13146507_count_position.png",4,220,900)</f>
        <v/>
      </c>
      <c r="T2996">
        <f>IMAGE("https://mitra.stanford.edu/kundaje/oak/projects/neuro-variants/variant_position/credible/roussos_2024/variant_figures/roussos_2024.childhood.Astrocyte/rs13146507_profile_position.png",4,220,900)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-0.0331579887999999</v>
      </c>
      <c r="G2997" t="n">
        <v>0.3581202825354359</v>
      </c>
      <c r="H2997" t="n">
        <v>0.0267669502949456</v>
      </c>
      <c r="I2997" t="n">
        <v>0.0457751755789411</v>
      </c>
      <c r="J2997" t="n">
        <v>0.0029890163571553</v>
      </c>
      <c r="K2997" t="n">
        <v>0.826040361264661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0.0779</v>
      </c>
      <c r="Q2997" t="n">
        <v>-100</v>
      </c>
      <c r="R2997" t="n">
        <v>0.05405</v>
      </c>
      <c r="S2997">
        <f>IMAGE("https://mitra.stanford.edu/kundaje/oak/projects/neuro-variants/variant_position/credible/roussos_2024/variant_figures/roussos_2024.childhood.Astrocyte/rs77453134_count_position.png",4,220,900)</f>
        <v/>
      </c>
      <c r="T2997">
        <f>IMAGE("https://mitra.stanford.edu/kundaje/oak/projects/neuro-variants/variant_position/credible/roussos_2024/variant_figures/roussos_2024.childhood.Astrocyte/rs77453134_profile_position.png",4,220,900)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0.0108901354999999</v>
      </c>
      <c r="G2998" t="n">
        <v>0.6223854799417886</v>
      </c>
      <c r="H2998" t="n">
        <v>0.0141652848024732</v>
      </c>
      <c r="I2998" t="n">
        <v>0.3506122462620484</v>
      </c>
      <c r="J2998" t="n">
        <v>0.0023165640050986</v>
      </c>
      <c r="K2998" t="n">
        <v>0.8524776421742393</v>
      </c>
      <c r="L2998" t="b">
        <v>0</v>
      </c>
      <c r="M2998" t="b">
        <v>0</v>
      </c>
      <c r="N2998" t="inlineStr">
        <is>
          <t>alt</t>
        </is>
      </c>
      <c r="O2998" t="n">
        <v>45</v>
      </c>
      <c r="P2998" t="n">
        <v>0.01604</v>
      </c>
      <c r="Q2998" t="n">
        <v>-5</v>
      </c>
      <c r="R2998" t="n">
        <v>0.0005493</v>
      </c>
      <c r="S2998">
        <f>IMAGE("https://mitra.stanford.edu/kundaje/oak/projects/neuro-variants/variant_position/credible/roussos_2024/variant_figures/roussos_2024.childhood.Astrocyte/rs10019288_count_position.png",4,220,900)</f>
        <v/>
      </c>
      <c r="T2998">
        <f>IMAGE("https://mitra.stanford.edu/kundaje/oak/projects/neuro-variants/variant_position/credible/roussos_2024/variant_figures/roussos_2024.childhood.Astrocyte/rs10019288_profile_position.png",4,220,900)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-0.0147701530999999</v>
      </c>
      <c r="G2999" t="n">
        <v>0.6337579145415753</v>
      </c>
      <c r="H2999" t="n">
        <v>0.007739009537044</v>
      </c>
      <c r="I2999" t="n">
        <v>0.9212535581041283</v>
      </c>
      <c r="J2999" t="n">
        <v>0.0012021707769457</v>
      </c>
      <c r="K2999" t="n">
        <v>0.8970338805855357</v>
      </c>
      <c r="L2999" t="b">
        <v>0</v>
      </c>
      <c r="M2999" t="b">
        <v>0</v>
      </c>
      <c r="N2999" t="inlineStr">
        <is>
          <t>ref</t>
        </is>
      </c>
      <c r="O2999" t="n">
        <v>-15</v>
      </c>
      <c r="P2999" t="n">
        <v>0.003471</v>
      </c>
      <c r="Q2999" t="n">
        <v>-100</v>
      </c>
      <c r="R2999" t="n">
        <v>0.11597</v>
      </c>
      <c r="S2999">
        <f>IMAGE("https://mitra.stanford.edu/kundaje/oak/projects/neuro-variants/variant_position/credible/roussos_2024/variant_figures/roussos_2024.childhood.Astrocyte/rs13102895_count_position.png",4,220,900)</f>
        <v/>
      </c>
      <c r="T2999">
        <f>IMAGE("https://mitra.stanford.edu/kundaje/oak/projects/neuro-variants/variant_position/credible/roussos_2024/variant_figures/roussos_2024.childhood.Astrocyte/rs13102895_profile_position.png",4,220,900)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-0.02102242556</v>
      </c>
      <c r="G3000" t="n">
        <v>0.5120190424397516</v>
      </c>
      <c r="H3000" t="n">
        <v>0.0306401094528574</v>
      </c>
      <c r="I3000" t="n">
        <v>0.0273672009304378</v>
      </c>
      <c r="J3000" t="n">
        <v>0.0028104081274376</v>
      </c>
      <c r="K3000" t="n">
        <v>0.8400608004187776</v>
      </c>
      <c r="L3000" t="b">
        <v>0</v>
      </c>
      <c r="M3000" t="b">
        <v>0</v>
      </c>
      <c r="N3000" t="inlineStr">
        <is>
          <t>ref</t>
        </is>
      </c>
      <c r="O3000" t="n">
        <v>-65</v>
      </c>
      <c r="P3000" t="n">
        <v>0.00612</v>
      </c>
      <c r="Q3000" t="n">
        <v>-70</v>
      </c>
      <c r="R3000" t="n">
        <v>0.0283</v>
      </c>
      <c r="S3000">
        <f>IMAGE("https://mitra.stanford.edu/kundaje/oak/projects/neuro-variants/variant_position/credible/roussos_2024/variant_figures/roussos_2024.childhood.Astrocyte/rs7435170_count_position.png",4,220,900)</f>
        <v/>
      </c>
      <c r="T3000">
        <f>IMAGE("https://mitra.stanford.edu/kundaje/oak/projects/neuro-variants/variant_position/credible/roussos_2024/variant_figures/roussos_2024.childhood.Astrocyte/rs7435170_profile_position.png",4,220,900)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0.0977345962</v>
      </c>
      <c r="G3001" t="n">
        <v>0.0724081857103266</v>
      </c>
      <c r="H3001" t="n">
        <v>0.0122593195335282</v>
      </c>
      <c r="I3001" t="n">
        <v>0.4982776562700333</v>
      </c>
      <c r="J3001" t="n">
        <v>0.0257302710418049</v>
      </c>
      <c r="K3001" t="n">
        <v>0.5679480964256277</v>
      </c>
      <c r="L3001" t="b">
        <v>0</v>
      </c>
      <c r="M3001" t="b">
        <v>0</v>
      </c>
      <c r="N3001" t="inlineStr">
        <is>
          <t>alt</t>
        </is>
      </c>
      <c r="O3001" t="n">
        <v>25</v>
      </c>
      <c r="P3001" t="n">
        <v>0.01532</v>
      </c>
      <c r="Q3001" t="n">
        <v>30</v>
      </c>
      <c r="R3001" t="n">
        <v>0.156</v>
      </c>
      <c r="S3001">
        <f>IMAGE("https://mitra.stanford.edu/kundaje/oak/projects/neuro-variants/variant_position/credible/roussos_2024/variant_figures/roussos_2024.childhood.Astrocyte/rs7435994_count_position.png",4,220,900)</f>
        <v/>
      </c>
      <c r="T3001">
        <f>IMAGE("https://mitra.stanford.edu/kundaje/oak/projects/neuro-variants/variant_position/credible/roussos_2024/variant_figures/roussos_2024.childhood.Astrocyte/rs7435994_profile_position.png",4,220,900)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0.0235008476</v>
      </c>
      <c r="G3002" t="n">
        <v>0.286940519477631</v>
      </c>
      <c r="H3002" t="n">
        <v>0.0169028471532525</v>
      </c>
      <c r="I3002" t="n">
        <v>0.2101934721923292</v>
      </c>
      <c r="J3002" t="n">
        <v>0.020951355972308</v>
      </c>
      <c r="K3002" t="n">
        <v>0.6008057661136181</v>
      </c>
      <c r="L3002" t="b">
        <v>0</v>
      </c>
      <c r="M3002" t="b">
        <v>0</v>
      </c>
      <c r="N3002" t="inlineStr">
        <is>
          <t>alt</t>
        </is>
      </c>
      <c r="O3002" t="n">
        <v>5</v>
      </c>
      <c r="P3002" t="n">
        <v>0.001038</v>
      </c>
      <c r="Q3002" t="n">
        <v>5</v>
      </c>
      <c r="R3002" t="n">
        <v>0.01172</v>
      </c>
      <c r="S3002">
        <f>IMAGE("https://mitra.stanford.edu/kundaje/oak/projects/neuro-variants/variant_position/credible/roussos_2024/variant_figures/roussos_2024.childhood.Astrocyte/rs28581574_count_position.png",4,220,900)</f>
        <v/>
      </c>
      <c r="T3002">
        <f>IMAGE("https://mitra.stanford.edu/kundaje/oak/projects/neuro-variants/variant_position/credible/roussos_2024/variant_figures/roussos_2024.childhood.Astrocyte/rs28581574_profile_position.png",4,220,900)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-0.0233403736</v>
      </c>
      <c r="G3003" t="n">
        <v>0.4740512870898372</v>
      </c>
      <c r="H3003" t="n">
        <v>0.0334776459037581</v>
      </c>
      <c r="I3003" t="n">
        <v>0.0194879256984393</v>
      </c>
      <c r="J3003" t="n">
        <v>0.0016395319548441</v>
      </c>
      <c r="K3003" t="n">
        <v>0.8870344472189221</v>
      </c>
      <c r="L3003" t="b">
        <v>0</v>
      </c>
      <c r="M3003" t="b">
        <v>0</v>
      </c>
      <c r="N3003" t="inlineStr">
        <is>
          <t>ref</t>
        </is>
      </c>
      <c r="O3003" t="n">
        <v>15</v>
      </c>
      <c r="P3003" t="n">
        <v>0.001953</v>
      </c>
      <c r="Q3003" t="n">
        <v>10</v>
      </c>
      <c r="R3003" t="n">
        <v>0.03192</v>
      </c>
      <c r="S3003">
        <f>IMAGE("https://mitra.stanford.edu/kundaje/oak/projects/neuro-variants/variant_position/credible/roussos_2024/variant_figures/roussos_2024.childhood.Astrocyte/rs35684722_count_position.png",4,220,900)</f>
        <v/>
      </c>
      <c r="T3003">
        <f>IMAGE("https://mitra.stanford.edu/kundaje/oak/projects/neuro-variants/variant_position/credible/roussos_2024/variant_figures/roussos_2024.childhood.Astrocyte/rs35684722_profile_position.png",4,220,900)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-0.0833003366</v>
      </c>
      <c r="G3004" t="n">
        <v>0.100240255735773</v>
      </c>
      <c r="H3004" t="n">
        <v>0.0144735419138757</v>
      </c>
      <c r="I3004" t="n">
        <v>0.3233355865090568</v>
      </c>
      <c r="J3004" t="n">
        <v>0.0207216077793806</v>
      </c>
      <c r="K3004" t="n">
        <v>0.6025288235379616</v>
      </c>
      <c r="L3004" t="b">
        <v>0</v>
      </c>
      <c r="M3004" t="b">
        <v>0</v>
      </c>
      <c r="N3004" t="inlineStr">
        <is>
          <t>ref</t>
        </is>
      </c>
      <c r="O3004" t="n">
        <v>60</v>
      </c>
      <c r="P3004" t="n">
        <v>0.002354</v>
      </c>
      <c r="Q3004" t="n">
        <v>70</v>
      </c>
      <c r="R3004" t="n">
        <v>0.1123</v>
      </c>
      <c r="S3004">
        <f>IMAGE("https://mitra.stanford.edu/kundaje/oak/projects/neuro-variants/variant_position/credible/roussos_2024/variant_figures/roussos_2024.childhood.Astrocyte/rs58186080_count_position.png",4,220,900)</f>
        <v/>
      </c>
      <c r="T3004">
        <f>IMAGE("https://mitra.stanford.edu/kundaje/oak/projects/neuro-variants/variant_position/credible/roussos_2024/variant_figures/roussos_2024.childhood.Astrocyte/rs58186080_profile_position.png",4,220,900)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0.0174876724</v>
      </c>
      <c r="G3005" t="n">
        <v>0.2884782666986389</v>
      </c>
      <c r="H3005" t="n">
        <v>0.0122459004980154</v>
      </c>
      <c r="I3005" t="n">
        <v>0.4958009144433288</v>
      </c>
      <c r="J3005" t="n">
        <v>0.0247624281559844</v>
      </c>
      <c r="K3005" t="n">
        <v>0.5690813566115944</v>
      </c>
      <c r="L3005" t="b">
        <v>0</v>
      </c>
      <c r="M3005" t="b">
        <v>0</v>
      </c>
      <c r="N3005" t="inlineStr">
        <is>
          <t>alt</t>
        </is>
      </c>
      <c r="O3005" t="n">
        <v>100</v>
      </c>
      <c r="P3005" t="n">
        <v>0.01683</v>
      </c>
      <c r="Q3005" t="n">
        <v>75</v>
      </c>
      <c r="R3005" t="n">
        <v>0.1885</v>
      </c>
      <c r="S3005">
        <f>IMAGE("https://mitra.stanford.edu/kundaje/oak/projects/neuro-variants/variant_position/credible/roussos_2024/variant_figures/roussos_2024.childhood.Astrocyte/rs10028563_count_position.png",4,220,900)</f>
        <v/>
      </c>
      <c r="T3005">
        <f>IMAGE("https://mitra.stanford.edu/kundaje/oak/projects/neuro-variants/variant_position/credible/roussos_2024/variant_figures/roussos_2024.childhood.Astrocyte/rs10028563_profile_position.png",4,220,900)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0.0224126832</v>
      </c>
      <c r="G3006" t="n">
        <v>0.4676948734804395</v>
      </c>
      <c r="H3006" t="n">
        <v>0.0074987808715247</v>
      </c>
      <c r="I3006" t="n">
        <v>0.9394005467692648</v>
      </c>
      <c r="J3006" t="n">
        <v>0.0018425652416171</v>
      </c>
      <c r="K3006" t="n">
        <v>0.8742520837213437</v>
      </c>
      <c r="L3006" t="b">
        <v>0</v>
      </c>
      <c r="M3006" t="b">
        <v>0</v>
      </c>
      <c r="N3006" t="inlineStr">
        <is>
          <t>alt</t>
        </is>
      </c>
      <c r="O3006" t="n">
        <v>-90</v>
      </c>
      <c r="P3006" t="n">
        <v>0.01715</v>
      </c>
      <c r="Q3006" t="n">
        <v>-100</v>
      </c>
      <c r="R3006" t="n">
        <v>0.177</v>
      </c>
      <c r="S3006">
        <f>IMAGE("https://mitra.stanford.edu/kundaje/oak/projects/neuro-variants/variant_position/credible/roussos_2024/variant_figures/roussos_2024.childhood.Astrocyte/rs6531299_count_position.png",4,220,900)</f>
        <v/>
      </c>
      <c r="T3006">
        <f>IMAGE("https://mitra.stanford.edu/kundaje/oak/projects/neuro-variants/variant_position/credible/roussos_2024/variant_figures/roussos_2024.childhood.Astrocyte/rs6531299_profile_position.png",4,220,900)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0.0412419898</v>
      </c>
      <c r="G3007" t="n">
        <v>0.2703580924218453</v>
      </c>
      <c r="H3007" t="n">
        <v>0.0265247652580318</v>
      </c>
      <c r="I3007" t="n">
        <v>0.0474153503067153</v>
      </c>
      <c r="J3007" t="n">
        <v>0.0032630349659957</v>
      </c>
      <c r="K3007" t="n">
        <v>0.8170377115603423</v>
      </c>
      <c r="L3007" t="b">
        <v>0</v>
      </c>
      <c r="M3007" t="b">
        <v>0</v>
      </c>
      <c r="N3007" t="inlineStr">
        <is>
          <t>alt</t>
        </is>
      </c>
      <c r="O3007" t="n">
        <v>95</v>
      </c>
      <c r="P3007" t="n">
        <v>0.007934999999999999</v>
      </c>
      <c r="Q3007" t="n">
        <v>10</v>
      </c>
      <c r="R3007" t="n">
        <v>0.03003</v>
      </c>
      <c r="S3007">
        <f>IMAGE("https://mitra.stanford.edu/kundaje/oak/projects/neuro-variants/variant_position/credible/roussos_2024/variant_figures/roussos_2024.childhood.Astrocyte/rs67368133_count_position.png",4,220,900)</f>
        <v/>
      </c>
      <c r="T3007">
        <f>IMAGE("https://mitra.stanford.edu/kundaje/oak/projects/neuro-variants/variant_position/credible/roussos_2024/variant_figures/roussos_2024.childhood.Astrocyte/rs67368133_profile_position.png",4,220,900)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-0.0124487077399999</v>
      </c>
      <c r="G3008" t="n">
        <v>0.6869926668021159</v>
      </c>
      <c r="H3008" t="n">
        <v>0.0258019070041523</v>
      </c>
      <c r="I3008" t="n">
        <v>0.052621298464377</v>
      </c>
      <c r="J3008" t="n">
        <v>0.0011143932281528</v>
      </c>
      <c r="K3008" t="n">
        <v>0.8963815677635041</v>
      </c>
      <c r="L3008" t="b">
        <v>0</v>
      </c>
      <c r="M3008" t="b">
        <v>0</v>
      </c>
      <c r="N3008" t="inlineStr">
        <is>
          <t>ref</t>
        </is>
      </c>
      <c r="O3008" t="n">
        <v>-70</v>
      </c>
      <c r="P3008" t="n">
        <v>0.01442</v>
      </c>
      <c r="Q3008" t="n">
        <v>-65</v>
      </c>
      <c r="R3008" t="n">
        <v>0.04376</v>
      </c>
      <c r="S3008">
        <f>IMAGE("https://mitra.stanford.edu/kundaje/oak/projects/neuro-variants/variant_position/credible/roussos_2024/variant_figures/roussos_2024.childhood.Astrocyte/rs6834907_count_position.png",4,220,900)</f>
        <v/>
      </c>
      <c r="T3008">
        <f>IMAGE("https://mitra.stanford.edu/kundaje/oak/projects/neuro-variants/variant_position/credible/roussos_2024/variant_figures/roussos_2024.childhood.Astrocyte/rs6834907_profile_position.png",4,220,900)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0.136786544</v>
      </c>
      <c r="G3009" t="n">
        <v>0.0397601693222199</v>
      </c>
      <c r="H3009" t="n">
        <v>0.0155583836514579</v>
      </c>
      <c r="I3009" t="n">
        <v>0.2724470971929756</v>
      </c>
      <c r="J3009" t="n">
        <v>0.0934464518788211</v>
      </c>
      <c r="K3009" t="n">
        <v>0.346874475689393</v>
      </c>
      <c r="L3009" t="b">
        <v>0</v>
      </c>
      <c r="M3009" t="b">
        <v>0</v>
      </c>
      <c r="N3009" t="inlineStr">
        <is>
          <t>alt</t>
        </is>
      </c>
      <c r="O3009" t="n">
        <v>-40</v>
      </c>
      <c r="P3009" t="n">
        <v>0.00721</v>
      </c>
      <c r="Q3009" t="n">
        <v>-25</v>
      </c>
      <c r="R3009" t="n">
        <v>0.1338</v>
      </c>
      <c r="S3009">
        <f>IMAGE("https://mitra.stanford.edu/kundaje/oak/projects/neuro-variants/variant_position/credible/roussos_2024/variant_figures/roussos_2024.childhood.Astrocyte/rs13110566_count_position.png",4,220,900)</f>
        <v/>
      </c>
      <c r="T3009">
        <f>IMAGE("https://mitra.stanford.edu/kundaje/oak/projects/neuro-variants/variant_position/credible/roussos_2024/variant_figures/roussos_2024.childhood.Astrocyte/rs13110566_profile_position.png",4,220,900)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0.0146076995299999</v>
      </c>
      <c r="G3010" t="n">
        <v>0.47677991014917</v>
      </c>
      <c r="H3010" t="n">
        <v>0.0122533046435114</v>
      </c>
      <c r="I3010" t="n">
        <v>0.4935531842348507</v>
      </c>
      <c r="J3010" t="n">
        <v>0.0106134505736071</v>
      </c>
      <c r="K3010" t="n">
        <v>0.6854173292815244</v>
      </c>
      <c r="L3010" t="b">
        <v>0</v>
      </c>
      <c r="M3010" t="b">
        <v>0</v>
      </c>
      <c r="N3010" t="inlineStr">
        <is>
          <t>alt</t>
        </is>
      </c>
      <c r="O3010" t="n">
        <v>85</v>
      </c>
      <c r="P3010" t="n">
        <v>0.003849</v>
      </c>
      <c r="Q3010" t="n">
        <v>-40</v>
      </c>
      <c r="R3010" t="n">
        <v>0.1094</v>
      </c>
      <c r="S3010">
        <f>IMAGE("https://mitra.stanford.edu/kundaje/oak/projects/neuro-variants/variant_position/credible/roussos_2024/variant_figures/roussos_2024.childhood.Astrocyte/rs34522421_count_position.png",4,220,900)</f>
        <v/>
      </c>
      <c r="T3010">
        <f>IMAGE("https://mitra.stanford.edu/kundaje/oak/projects/neuro-variants/variant_position/credible/roussos_2024/variant_figures/roussos_2024.childhood.Astrocyte/rs34522421_profile_position.png",4,220,900)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-0.0592893149999999</v>
      </c>
      <c r="G3011" t="n">
        <v>0.1694100481838456</v>
      </c>
      <c r="H3011" t="n">
        <v>0.0130890557828117</v>
      </c>
      <c r="I3011" t="n">
        <v>0.4276373832453654</v>
      </c>
      <c r="J3011" t="n">
        <v>0.0037232946348835</v>
      </c>
      <c r="K3011" t="n">
        <v>0.8060914883552199</v>
      </c>
      <c r="L3011" t="b">
        <v>0</v>
      </c>
      <c r="M3011" t="b">
        <v>0</v>
      </c>
      <c r="N3011" t="inlineStr">
        <is>
          <t>ref</t>
        </is>
      </c>
      <c r="O3011" t="n">
        <v>-90</v>
      </c>
      <c r="P3011" t="n">
        <v>0.009575</v>
      </c>
      <c r="Q3011" t="n">
        <v>-100</v>
      </c>
      <c r="R3011" t="n">
        <v>0.1174</v>
      </c>
      <c r="S3011">
        <f>IMAGE("https://mitra.stanford.edu/kundaje/oak/projects/neuro-variants/variant_position/credible/roussos_2024/variant_figures/roussos_2024.childhood.Astrocyte/rs7683171_count_position.png",4,220,900)</f>
        <v/>
      </c>
      <c r="T3011">
        <f>IMAGE("https://mitra.stanford.edu/kundaje/oak/projects/neuro-variants/variant_position/credible/roussos_2024/variant_figures/roussos_2024.childhood.Astrocyte/rs7683171_profile_position.png",4,220,900)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-0.00835510754</v>
      </c>
      <c r="G3012" t="n">
        <v>0.761367514399264</v>
      </c>
      <c r="H3012" t="n">
        <v>0.0119569661695779</v>
      </c>
      <c r="I3012" t="n">
        <v>0.5165699021485429</v>
      </c>
      <c r="J3012" t="n">
        <v>0.0018952317708929</v>
      </c>
      <c r="K3012" t="n">
        <v>0.8667176227334769</v>
      </c>
      <c r="L3012" t="b">
        <v>0</v>
      </c>
      <c r="M3012" t="b">
        <v>0</v>
      </c>
      <c r="N3012" t="inlineStr">
        <is>
          <t>ref</t>
        </is>
      </c>
      <c r="O3012" t="n">
        <v>65</v>
      </c>
      <c r="P3012" t="n">
        <v>0.006237</v>
      </c>
      <c r="Q3012" t="n">
        <v>-75</v>
      </c>
      <c r="R3012" t="n">
        <v>0.0984</v>
      </c>
      <c r="S3012">
        <f>IMAGE("https://mitra.stanford.edu/kundaje/oak/projects/neuro-variants/variant_position/credible/roussos_2024/variant_figures/roussos_2024.childhood.Astrocyte/rs34250047_count_position.png",4,220,900)</f>
        <v/>
      </c>
      <c r="T3012">
        <f>IMAGE("https://mitra.stanford.edu/kundaje/oak/projects/neuro-variants/variant_position/credible/roussos_2024/variant_figures/roussos_2024.childhood.Astrocyte/rs34250047_profile_position.png",4,220,900)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0.142835686</v>
      </c>
      <c r="G3013" t="n">
        <v>0.0338193670523064</v>
      </c>
      <c r="H3013" t="n">
        <v>0.0230375784890619</v>
      </c>
      <c r="I3013" t="n">
        <v>0.08075359603822239</v>
      </c>
      <c r="J3013" t="n">
        <v>0.0068435956737117</v>
      </c>
      <c r="K3013" t="n">
        <v>0.7469909791704336</v>
      </c>
      <c r="L3013" t="b">
        <v>0</v>
      </c>
      <c r="M3013" t="b">
        <v>0</v>
      </c>
      <c r="N3013" t="inlineStr">
        <is>
          <t>alt</t>
        </is>
      </c>
      <c r="O3013" t="n">
        <v>-100</v>
      </c>
      <c r="P3013" t="n">
        <v>0.008449999999999999</v>
      </c>
      <c r="Q3013" t="n">
        <v>-100</v>
      </c>
      <c r="R3013" t="n">
        <v>0.0575</v>
      </c>
      <c r="S3013">
        <f>IMAGE("https://mitra.stanford.edu/kundaje/oak/projects/neuro-variants/variant_position/credible/roussos_2024/variant_figures/roussos_2024.childhood.Astrocyte/rs28731006_count_position.png",4,220,900)</f>
        <v/>
      </c>
      <c r="T3013">
        <f>IMAGE("https://mitra.stanford.edu/kundaje/oak/projects/neuro-variants/variant_position/credible/roussos_2024/variant_figures/roussos_2024.childhood.Astrocyte/rs28731006_profile_position.png",4,220,900)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-0.1192863731999999</v>
      </c>
      <c r="G3014" t="n">
        <v>0.0551262729356773</v>
      </c>
      <c r="H3014" t="n">
        <v>0.0237922623146133</v>
      </c>
      <c r="I3014" t="n">
        <v>0.07456071273362511</v>
      </c>
      <c r="J3014" t="n">
        <v>0.0027493454847991</v>
      </c>
      <c r="K3014" t="n">
        <v>0.8393485294787385</v>
      </c>
      <c r="L3014" t="b">
        <v>0</v>
      </c>
      <c r="M3014" t="b">
        <v>0</v>
      </c>
      <c r="N3014" t="inlineStr">
        <is>
          <t>ref</t>
        </is>
      </c>
      <c r="O3014" t="n">
        <v>-90</v>
      </c>
      <c r="P3014" t="n">
        <v>0.00528</v>
      </c>
      <c r="Q3014" t="n">
        <v>-70</v>
      </c>
      <c r="R3014" t="n">
        <v>0.05237</v>
      </c>
      <c r="S3014">
        <f>IMAGE("https://mitra.stanford.edu/kundaje/oak/projects/neuro-variants/variant_position/credible/roussos_2024/variant_figures/roussos_2024.childhood.Astrocyte/rs34202234_count_position.png",4,220,900)</f>
        <v/>
      </c>
      <c r="T3014">
        <f>IMAGE("https://mitra.stanford.edu/kundaje/oak/projects/neuro-variants/variant_position/credible/roussos_2024/variant_figures/roussos_2024.childhood.Astrocyte/rs34202234_profile_position.png",4,220,900)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-0.0064443576579999</v>
      </c>
      <c r="G3015" t="n">
        <v>0.8017130187979901</v>
      </c>
      <c r="H3015" t="n">
        <v>0.0087894081342754</v>
      </c>
      <c r="I3015" t="n">
        <v>0.8389582261253627</v>
      </c>
      <c r="J3015" t="n">
        <v>0.0137772587453153</v>
      </c>
      <c r="K3015" t="n">
        <v>0.6462868773973718</v>
      </c>
      <c r="L3015" t="b">
        <v>0</v>
      </c>
      <c r="M3015" t="b">
        <v>0</v>
      </c>
      <c r="N3015" t="inlineStr">
        <is>
          <t>ref</t>
        </is>
      </c>
      <c r="O3015" t="n">
        <v>10</v>
      </c>
      <c r="P3015" t="n">
        <v>0.002548</v>
      </c>
      <c r="Q3015" t="n">
        <v>-85</v>
      </c>
      <c r="R3015" t="n">
        <v>0.08749999999999999</v>
      </c>
      <c r="S3015">
        <f>IMAGE("https://mitra.stanford.edu/kundaje/oak/projects/neuro-variants/variant_position/credible/roussos_2024/variant_figures/roussos_2024.childhood.Astrocyte/rs4266314_count_position.png",4,220,900)</f>
        <v/>
      </c>
      <c r="T3015">
        <f>IMAGE("https://mitra.stanford.edu/kundaje/oak/projects/neuro-variants/variant_position/credible/roussos_2024/variant_figures/roussos_2024.childhood.Astrocyte/rs4266314_profile_position.png",4,220,900)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-0.003107026172</v>
      </c>
      <c r="G3016" t="n">
        <v>0.812218719042482</v>
      </c>
      <c r="H3016" t="n">
        <v>0.0077696978746838</v>
      </c>
      <c r="I3016" t="n">
        <v>0.9160646786193476</v>
      </c>
      <c r="J3016" t="n">
        <v>0.0002167723813667</v>
      </c>
      <c r="K3016" t="n">
        <v>0.9726223154010196</v>
      </c>
      <c r="L3016" t="b">
        <v>0</v>
      </c>
      <c r="M3016" t="b">
        <v>0</v>
      </c>
      <c r="N3016" t="inlineStr">
        <is>
          <t>ref</t>
        </is>
      </c>
      <c r="O3016" t="n">
        <v>-40</v>
      </c>
      <c r="P3016" t="n">
        <v>0.011345</v>
      </c>
      <c r="Q3016" t="n">
        <v>40</v>
      </c>
      <c r="R3016" t="n">
        <v>0.0699</v>
      </c>
      <c r="S3016">
        <f>IMAGE("https://mitra.stanford.edu/kundaje/oak/projects/neuro-variants/variant_position/credible/roussos_2024/variant_figures/roussos_2024.childhood.Astrocyte/rs34352361_count_position.png",4,220,900)</f>
        <v/>
      </c>
      <c r="T3016">
        <f>IMAGE("https://mitra.stanford.edu/kundaje/oak/projects/neuro-variants/variant_position/credible/roussos_2024/variant_figures/roussos_2024.childhood.Astrocyte/rs34352361_profile_position.png",4,220,900)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0.0762721158</v>
      </c>
      <c r="G3017" t="n">
        <v>0.1098099133883647</v>
      </c>
      <c r="H3017" t="n">
        <v>0.0131346227948004</v>
      </c>
      <c r="I3017" t="n">
        <v>0.4194171452231</v>
      </c>
      <c r="J3017" t="n">
        <v>0.0039461732805141</v>
      </c>
      <c r="K3017" t="n">
        <v>0.7958888619564882</v>
      </c>
      <c r="L3017" t="b">
        <v>0</v>
      </c>
      <c r="M3017" t="b">
        <v>0</v>
      </c>
      <c r="N3017" t="inlineStr">
        <is>
          <t>alt</t>
        </is>
      </c>
      <c r="O3017" t="n">
        <v>-100</v>
      </c>
      <c r="P3017" t="n">
        <v>0.01646</v>
      </c>
      <c r="Q3017" t="n">
        <v>-100</v>
      </c>
      <c r="R3017" t="n">
        <v>0.02075</v>
      </c>
      <c r="S3017">
        <f>IMAGE("https://mitra.stanford.edu/kundaje/oak/projects/neuro-variants/variant_position/credible/roussos_2024/variant_figures/roussos_2024.childhood.Astrocyte/rs35210319_count_position.png",4,220,900)</f>
        <v/>
      </c>
      <c r="T3017">
        <f>IMAGE("https://mitra.stanford.edu/kundaje/oak/projects/neuro-variants/variant_position/credible/roussos_2024/variant_figures/roussos_2024.childhood.Astrocyte/rs35210319_profile_position.png",4,220,900)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0.04003799054</v>
      </c>
      <c r="G3018" t="n">
        <v>0.2642275699987889</v>
      </c>
      <c r="H3018" t="n">
        <v>0.0121184385725887</v>
      </c>
      <c r="I3018" t="n">
        <v>0.4997110480424029</v>
      </c>
      <c r="J3018" t="n">
        <v>0.0034248509689877</v>
      </c>
      <c r="K3018" t="n">
        <v>0.8447894697168655</v>
      </c>
      <c r="L3018" t="b">
        <v>0</v>
      </c>
      <c r="M3018" t="b">
        <v>0</v>
      </c>
      <c r="N3018" t="inlineStr">
        <is>
          <t>alt</t>
        </is>
      </c>
      <c r="O3018" t="n">
        <v>-100</v>
      </c>
      <c r="P3018" t="n">
        <v>0.00325</v>
      </c>
      <c r="Q3018" t="n">
        <v>-95</v>
      </c>
      <c r="R3018" t="n">
        <v>0.09155000000000001</v>
      </c>
      <c r="S3018">
        <f>IMAGE("https://mitra.stanford.edu/kundaje/oak/projects/neuro-variants/variant_position/credible/roussos_2024/variant_figures/roussos_2024.childhood.Astrocyte/rs4645234_count_position.png",4,220,900)</f>
        <v/>
      </c>
      <c r="T3018">
        <f>IMAGE("https://mitra.stanford.edu/kundaje/oak/projects/neuro-variants/variant_position/credible/roussos_2024/variant_figures/roussos_2024.childhood.Astrocyte/rs4645234_profile_position.png",4,220,900)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-0.1412239639999999</v>
      </c>
      <c r="G3019" t="n">
        <v>0.0378769825994087</v>
      </c>
      <c r="H3019" t="n">
        <v>0.0174138659909063</v>
      </c>
      <c r="I3019" t="n">
        <v>0.2050480987762405</v>
      </c>
      <c r="J3019" t="n">
        <v>0.0136856647813575</v>
      </c>
      <c r="K3019" t="n">
        <v>0.654254546890472</v>
      </c>
      <c r="L3019" t="b">
        <v>0</v>
      </c>
      <c r="M3019" t="b">
        <v>0</v>
      </c>
      <c r="N3019" t="inlineStr">
        <is>
          <t>ref</t>
        </is>
      </c>
      <c r="O3019" t="n">
        <v>95</v>
      </c>
      <c r="P3019" t="n">
        <v>0.004784</v>
      </c>
      <c r="Q3019" t="n">
        <v>-45</v>
      </c>
      <c r="R3019" t="n">
        <v>0.08093</v>
      </c>
      <c r="S3019">
        <f>IMAGE("https://mitra.stanford.edu/kundaje/oak/projects/neuro-variants/variant_position/credible/roussos_2024/variant_figures/roussos_2024.childhood.Astrocyte/rs6841728_count_position.png",4,220,900)</f>
        <v/>
      </c>
      <c r="T3019">
        <f>IMAGE("https://mitra.stanford.edu/kundaje/oak/projects/neuro-variants/variant_position/credible/roussos_2024/variant_figures/roussos_2024.childhood.Astrocyte/rs6841728_profile_position.png",4,220,900)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-0.00166481634</v>
      </c>
      <c r="G3020" t="n">
        <v>0.6416788400977821</v>
      </c>
      <c r="H3020" t="n">
        <v>0.009690981366668299</v>
      </c>
      <c r="I3020" t="n">
        <v>0.7469227547275936</v>
      </c>
      <c r="J3020" t="n">
        <v>0.002999702319617</v>
      </c>
      <c r="K3020" t="n">
        <v>0.8336572074449485</v>
      </c>
      <c r="L3020" t="b">
        <v>0</v>
      </c>
      <c r="M3020" t="b">
        <v>0</v>
      </c>
      <c r="N3020" t="inlineStr">
        <is>
          <t>ref</t>
        </is>
      </c>
      <c r="O3020" t="n">
        <v>80</v>
      </c>
      <c r="P3020" t="n">
        <v>0.05408</v>
      </c>
      <c r="Q3020" t="n">
        <v>-5</v>
      </c>
      <c r="R3020" t="n">
        <v>0.01538</v>
      </c>
      <c r="S3020">
        <f>IMAGE("https://mitra.stanford.edu/kundaje/oak/projects/neuro-variants/variant_position/credible/roussos_2024/variant_figures/roussos_2024.childhood.Astrocyte/rs9968413_count_position.png",4,220,900)</f>
        <v/>
      </c>
      <c r="T3020">
        <f>IMAGE("https://mitra.stanford.edu/kundaje/oak/projects/neuro-variants/variant_position/credible/roussos_2024/variant_figures/roussos_2024.childhood.Astrocyte/rs9968413_profile_position.png",4,220,900)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-0.166442272</v>
      </c>
      <c r="G3021" t="n">
        <v>0.0253871873640059</v>
      </c>
      <c r="H3021" t="n">
        <v>0.0279018633396609</v>
      </c>
      <c r="I3021" t="n">
        <v>0.0412887680401633</v>
      </c>
      <c r="J3021" t="n">
        <v>0.0632952455099875</v>
      </c>
      <c r="K3021" t="n">
        <v>0.4040411629668927</v>
      </c>
      <c r="L3021" t="b">
        <v>0</v>
      </c>
      <c r="M3021" t="b">
        <v>0</v>
      </c>
      <c r="N3021" t="inlineStr">
        <is>
          <t>ref</t>
        </is>
      </c>
      <c r="O3021" t="n">
        <v>100</v>
      </c>
      <c r="P3021" t="n">
        <v>0.06525</v>
      </c>
      <c r="Q3021" t="n">
        <v>65</v>
      </c>
      <c r="R3021" t="n">
        <v>0.06226</v>
      </c>
      <c r="S3021">
        <f>IMAGE("https://mitra.stanford.edu/kundaje/oak/projects/neuro-variants/variant_position/credible/roussos_2024/variant_figures/roussos_2024.childhood.Astrocyte/rs4547813_count_position.png",4,220,900)</f>
        <v/>
      </c>
      <c r="T3021">
        <f>IMAGE("https://mitra.stanford.edu/kundaje/oak/projects/neuro-variants/variant_position/credible/roussos_2024/variant_figures/roussos_2024.childhood.Astrocyte/rs4547813_profile_position.png",4,220,900)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-0.0438416746</v>
      </c>
      <c r="G3022" t="n">
        <v>0.2749110572392873</v>
      </c>
      <c r="H3022" t="n">
        <v>0.0155441785991904</v>
      </c>
      <c r="I3022" t="n">
        <v>0.2684390949746745</v>
      </c>
      <c r="J3022" t="n">
        <v>0.0003221054399181</v>
      </c>
      <c r="K3022" t="n">
        <v>0.9708994043558404</v>
      </c>
      <c r="L3022" t="b">
        <v>0</v>
      </c>
      <c r="M3022" t="b">
        <v>0</v>
      </c>
      <c r="N3022" t="inlineStr">
        <is>
          <t>ref</t>
        </is>
      </c>
      <c r="O3022" t="n">
        <v>-95</v>
      </c>
      <c r="P3022" t="n">
        <v>0.013794</v>
      </c>
      <c r="Q3022" t="n">
        <v>-80</v>
      </c>
      <c r="R3022" t="n">
        <v>0.05902</v>
      </c>
      <c r="S3022">
        <f>IMAGE("https://mitra.stanford.edu/kundaje/oak/projects/neuro-variants/variant_position/credible/roussos_2024/variant_figures/roussos_2024.childhood.Astrocyte/rs13131483_count_position.png",4,220,900)</f>
        <v/>
      </c>
      <c r="T3022">
        <f>IMAGE("https://mitra.stanford.edu/kundaje/oak/projects/neuro-variants/variant_position/credible/roussos_2024/variant_figures/roussos_2024.childhood.Astrocyte/rs13131483_profile_position.png",4,220,900)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0.0312966912</v>
      </c>
      <c r="G3023" t="n">
        <v>0.3639642070689121</v>
      </c>
      <c r="H3023" t="n">
        <v>0.0187587725738377</v>
      </c>
      <c r="I3023" t="n">
        <v>0.1557150486300755</v>
      </c>
      <c r="J3023" t="n">
        <v>0.0176310747788386</v>
      </c>
      <c r="K3023" t="n">
        <v>0.6151505143565453</v>
      </c>
      <c r="L3023" t="b">
        <v>0</v>
      </c>
      <c r="M3023" t="b">
        <v>0</v>
      </c>
      <c r="N3023" t="inlineStr">
        <is>
          <t>alt</t>
        </is>
      </c>
      <c r="O3023" t="n">
        <v>50</v>
      </c>
      <c r="P3023" t="n">
        <v>0.011475</v>
      </c>
      <c r="Q3023" t="n">
        <v>-100</v>
      </c>
      <c r="R3023" t="n">
        <v>0.05896</v>
      </c>
      <c r="S3023">
        <f>IMAGE("https://mitra.stanford.edu/kundaje/oak/projects/neuro-variants/variant_position/credible/roussos_2024/variant_figures/roussos_2024.childhood.Astrocyte/rs13118944_count_position.png",4,220,900)</f>
        <v/>
      </c>
      <c r="T3023">
        <f>IMAGE("https://mitra.stanford.edu/kundaje/oak/projects/neuro-variants/variant_position/credible/roussos_2024/variant_figures/roussos_2024.childhood.Astrocyte/rs13118944_profile_position.png",4,220,900)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-0.03636419976</v>
      </c>
      <c r="G3024" t="n">
        <v>0.3549061057114344</v>
      </c>
      <c r="H3024" t="n">
        <v>0.0167144322310629</v>
      </c>
      <c r="I3024" t="n">
        <v>0.218454183340247</v>
      </c>
      <c r="J3024" t="n">
        <v>0.0010151664338652</v>
      </c>
      <c r="K3024" t="n">
        <v>0.9058487804199894</v>
      </c>
      <c r="L3024" t="b">
        <v>0</v>
      </c>
      <c r="M3024" t="b">
        <v>0</v>
      </c>
      <c r="N3024" t="inlineStr">
        <is>
          <t>ref</t>
        </is>
      </c>
      <c r="O3024" t="n">
        <v>-30</v>
      </c>
      <c r="P3024" t="n">
        <v>0.00409</v>
      </c>
      <c r="Q3024" t="n">
        <v>-60</v>
      </c>
      <c r="R3024" t="n">
        <v>0.1148</v>
      </c>
      <c r="S3024">
        <f>IMAGE("https://mitra.stanford.edu/kundaje/oak/projects/neuro-variants/variant_position/credible/roussos_2024/variant_figures/roussos_2024.childhood.Astrocyte/rs10010448_count_position.png",4,220,900)</f>
        <v/>
      </c>
      <c r="T3024">
        <f>IMAGE("https://mitra.stanford.edu/kundaje/oak/projects/neuro-variants/variant_position/credible/roussos_2024/variant_figures/roussos_2024.childhood.Astrocyte/rs10010448_profile_position.png",4,220,900)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-0.0043515264</v>
      </c>
      <c r="G3025" t="n">
        <v>0.3261942149104644</v>
      </c>
      <c r="H3025" t="n">
        <v>0.012318716594391</v>
      </c>
      <c r="I3025" t="n">
        <v>0.4817196837370897</v>
      </c>
      <c r="J3025" t="n">
        <v>0.0065993451031576</v>
      </c>
      <c r="K3025" t="n">
        <v>0.7672189206471319</v>
      </c>
      <c r="L3025" t="b">
        <v>0</v>
      </c>
      <c r="M3025" t="b">
        <v>0</v>
      </c>
      <c r="N3025" t="inlineStr">
        <is>
          <t>ref</t>
        </is>
      </c>
      <c r="O3025" t="n">
        <v>-20</v>
      </c>
      <c r="P3025" t="n">
        <v>0.034</v>
      </c>
      <c r="Q3025" t="n">
        <v>-55</v>
      </c>
      <c r="R3025" t="n">
        <v>0.1144</v>
      </c>
      <c r="S3025">
        <f>IMAGE("https://mitra.stanford.edu/kundaje/oak/projects/neuro-variants/variant_position/credible/roussos_2024/variant_figures/roussos_2024.childhood.Astrocyte/rs7672284_count_position.png",4,220,900)</f>
        <v/>
      </c>
      <c r="T3025">
        <f>IMAGE("https://mitra.stanford.edu/kundaje/oak/projects/neuro-variants/variant_position/credible/roussos_2024/variant_figures/roussos_2024.childhood.Astrocyte/rs7672284_profile_position.png",4,220,900)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-0.220308504</v>
      </c>
      <c r="G3026" t="n">
        <v>0.0137240657735937</v>
      </c>
      <c r="H3026" t="n">
        <v>0.0266628615489736</v>
      </c>
      <c r="I3026" t="n">
        <v>0.047424945491328</v>
      </c>
      <c r="J3026" t="n">
        <v>0.0066535381984993</v>
      </c>
      <c r="K3026" t="n">
        <v>0.7535266373575328</v>
      </c>
      <c r="L3026" t="b">
        <v>1</v>
      </c>
      <c r="M3026" t="b">
        <v>0</v>
      </c>
      <c r="N3026" t="inlineStr">
        <is>
          <t>ref</t>
        </is>
      </c>
      <c r="O3026" t="n">
        <v>-75</v>
      </c>
      <c r="P3026" t="n">
        <v>0.00223</v>
      </c>
      <c r="Q3026" t="n">
        <v>0</v>
      </c>
      <c r="R3026" t="n">
        <v>0</v>
      </c>
      <c r="S3026">
        <f>IMAGE("https://mitra.stanford.edu/kundaje/oak/projects/neuro-variants/variant_position/credible/roussos_2024/variant_figures/roussos_2024.childhood.Astrocyte/rs28668075_count_position.png",4,220,900)</f>
        <v/>
      </c>
      <c r="T3026">
        <f>IMAGE("https://mitra.stanford.edu/kundaje/oak/projects/neuro-variants/variant_position/credible/roussos_2024/variant_figures/roussos_2024.childhood.Astrocyte/rs28668075_profile_position.png",4,220,900)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0.120131692</v>
      </c>
      <c r="G3027" t="n">
        <v>0.0513607051268591</v>
      </c>
      <c r="H3027" t="n">
        <v>0.0149752720801808</v>
      </c>
      <c r="I3027" t="n">
        <v>0.296226119210682</v>
      </c>
      <c r="J3027" t="n">
        <v>0.0186294489859784</v>
      </c>
      <c r="K3027" t="n">
        <v>0.6145234145355857</v>
      </c>
      <c r="L3027" t="b">
        <v>0</v>
      </c>
      <c r="M3027" t="b">
        <v>0</v>
      </c>
      <c r="N3027" t="inlineStr">
        <is>
          <t>alt</t>
        </is>
      </c>
      <c r="O3027" t="n">
        <v>95</v>
      </c>
      <c r="P3027" t="n">
        <v>0.009926000000000001</v>
      </c>
      <c r="Q3027" t="n">
        <v>75</v>
      </c>
      <c r="R3027" t="n">
        <v>0.1482</v>
      </c>
      <c r="S3027">
        <f>IMAGE("https://mitra.stanford.edu/kundaje/oak/projects/neuro-variants/variant_position/credible/roussos_2024/variant_figures/roussos_2024.childhood.Astrocyte/rs919019_count_position.png",4,220,900)</f>
        <v/>
      </c>
      <c r="T3027">
        <f>IMAGE("https://mitra.stanford.edu/kundaje/oak/projects/neuro-variants/variant_position/credible/roussos_2024/variant_figures/roussos_2024.childhood.Astrocyte/rs919019_profile_position.png",4,220,900)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-0.036908182</v>
      </c>
      <c r="G3028" t="n">
        <v>0.3133915712046263</v>
      </c>
      <c r="H3028" t="n">
        <v>0.0295688042202004</v>
      </c>
      <c r="I3028" t="n">
        <v>0.0316320562836092</v>
      </c>
      <c r="J3028" t="n">
        <v>0.0246822834375214</v>
      </c>
      <c r="K3028" t="n">
        <v>0.5732087174971424</v>
      </c>
      <c r="L3028" t="b">
        <v>0</v>
      </c>
      <c r="M3028" t="b">
        <v>0</v>
      </c>
      <c r="N3028" t="inlineStr">
        <is>
          <t>ref</t>
        </is>
      </c>
      <c r="O3028" t="n">
        <v>95</v>
      </c>
      <c r="P3028" t="n">
        <v>0.00925</v>
      </c>
      <c r="Q3028" t="n">
        <v>-100</v>
      </c>
      <c r="R3028" t="n">
        <v>0.11365</v>
      </c>
      <c r="S3028">
        <f>IMAGE("https://mitra.stanford.edu/kundaje/oak/projects/neuro-variants/variant_position/credible/roussos_2024/variant_figures/roussos_2024.childhood.Astrocyte/rs919018_count_position.png",4,220,900)</f>
        <v/>
      </c>
      <c r="T3028">
        <f>IMAGE("https://mitra.stanford.edu/kundaje/oak/projects/neuro-variants/variant_position/credible/roussos_2024/variant_figures/roussos_2024.childhood.Astrocyte/rs919018_profile_position.png",4,220,900)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-0.00503876648</v>
      </c>
      <c r="G3029" t="n">
        <v>0.8207385129389156</v>
      </c>
      <c r="H3029" t="n">
        <v>0.0223175783442568</v>
      </c>
      <c r="I3029" t="n">
        <v>0.08625453887294041</v>
      </c>
      <c r="J3029" t="n">
        <v>0.009134971338722001</v>
      </c>
      <c r="K3029" t="n">
        <v>0.7288842391583866</v>
      </c>
      <c r="L3029" t="b">
        <v>0</v>
      </c>
      <c r="M3029" t="b">
        <v>0</v>
      </c>
      <c r="N3029" t="inlineStr">
        <is>
          <t>ref</t>
        </is>
      </c>
      <c r="O3029" t="n">
        <v>70</v>
      </c>
      <c r="P3029" t="n">
        <v>0.00944</v>
      </c>
      <c r="Q3029" t="n">
        <v>-65</v>
      </c>
      <c r="R3029" t="n">
        <v>0.07074</v>
      </c>
      <c r="S3029">
        <f>IMAGE("https://mitra.stanford.edu/kundaje/oak/projects/neuro-variants/variant_position/credible/roussos_2024/variant_figures/roussos_2024.childhood.Astrocyte/rs35418312_count_position.png",4,220,900)</f>
        <v/>
      </c>
      <c r="T3029">
        <f>IMAGE("https://mitra.stanford.edu/kundaje/oak/projects/neuro-variants/variant_position/credible/roussos_2024/variant_figures/roussos_2024.childhood.Astrocyte/rs35418312_profile_position.png",4,220,900)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0.021385584</v>
      </c>
      <c r="G3030" t="n">
        <v>0.4969498802298734</v>
      </c>
      <c r="H3030" t="n">
        <v>0.0339162112195795</v>
      </c>
      <c r="I3030" t="n">
        <v>0.0183479445656585</v>
      </c>
      <c r="J3030" t="n">
        <v>0.0117270805187271</v>
      </c>
      <c r="K3030" t="n">
        <v>0.6984596329396008</v>
      </c>
      <c r="L3030" t="b">
        <v>1</v>
      </c>
      <c r="M3030" t="b">
        <v>0</v>
      </c>
      <c r="N3030" t="inlineStr">
        <is>
          <t>alt</t>
        </is>
      </c>
      <c r="O3030" t="n">
        <v>90</v>
      </c>
      <c r="P3030" t="n">
        <v>0.003242</v>
      </c>
      <c r="Q3030" t="n">
        <v>85</v>
      </c>
      <c r="R3030" t="n">
        <v>0.0985</v>
      </c>
      <c r="S3030">
        <f>IMAGE("https://mitra.stanford.edu/kundaje/oak/projects/neuro-variants/variant_position/credible/roussos_2024/variant_figures/roussos_2024.childhood.Astrocyte/rs13135298_count_position.png",4,220,900)</f>
        <v/>
      </c>
      <c r="T3030">
        <f>IMAGE("https://mitra.stanford.edu/kundaje/oak/projects/neuro-variants/variant_position/credible/roussos_2024/variant_figures/roussos_2024.childhood.Astrocyte/rs13135298_profile_position.png",4,220,900)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-0.0545536803999999</v>
      </c>
      <c r="G3031" t="n">
        <v>0.1955175868144172</v>
      </c>
      <c r="H3031" t="n">
        <v>0.0123219030845384</v>
      </c>
      <c r="I3031" t="n">
        <v>0.4854078828442578</v>
      </c>
      <c r="J3031" t="n">
        <v>0.1561661819819406</v>
      </c>
      <c r="K3031" t="n">
        <v>0.2542245729346745</v>
      </c>
      <c r="L3031" t="b">
        <v>0</v>
      </c>
      <c r="M3031" t="b">
        <v>0</v>
      </c>
      <c r="N3031" t="inlineStr">
        <is>
          <t>ref</t>
        </is>
      </c>
      <c r="O3031" t="n">
        <v>100</v>
      </c>
      <c r="P3031" t="n">
        <v>0.03412</v>
      </c>
      <c r="Q3031" t="n">
        <v>-55</v>
      </c>
      <c r="R3031" t="n">
        <v>0.2466</v>
      </c>
      <c r="S3031">
        <f>IMAGE("https://mitra.stanford.edu/kundaje/oak/projects/neuro-variants/variant_position/credible/roussos_2024/variant_figures/roussos_2024.childhood.Astrocyte/rs61262296_count_position.png",4,220,900)</f>
        <v/>
      </c>
      <c r="T3031">
        <f>IMAGE("https://mitra.stanford.edu/kundaje/oak/projects/neuro-variants/variant_position/credible/roussos_2024/variant_figures/roussos_2024.childhood.Astrocyte/rs61262296_profile_position.png",4,220,900)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0.01714599168</v>
      </c>
      <c r="G3032" t="n">
        <v>0.5775061311531327</v>
      </c>
      <c r="H3032" t="n">
        <v>0.0249945253884928</v>
      </c>
      <c r="I3032" t="n">
        <v>0.060311473436016</v>
      </c>
      <c r="J3032" t="n">
        <v>0.0049987405829955</v>
      </c>
      <c r="K3032" t="n">
        <v>0.7733201863888806</v>
      </c>
      <c r="L3032" t="b">
        <v>0</v>
      </c>
      <c r="M3032" t="b">
        <v>0</v>
      </c>
      <c r="N3032" t="inlineStr">
        <is>
          <t>alt</t>
        </is>
      </c>
      <c r="O3032" t="n">
        <v>0</v>
      </c>
      <c r="P3032" t="n">
        <v>0</v>
      </c>
      <c r="Q3032" t="n">
        <v>-50</v>
      </c>
      <c r="R3032" t="n">
        <v>0.03857</v>
      </c>
      <c r="S3032">
        <f>IMAGE("https://mitra.stanford.edu/kundaje/oak/projects/neuro-variants/variant_position/credible/roussos_2024/variant_figures/roussos_2024.childhood.Astrocyte/rs7685673_count_position.png",4,220,900)</f>
        <v/>
      </c>
      <c r="T3032">
        <f>IMAGE("https://mitra.stanford.edu/kundaje/oak/projects/neuro-variants/variant_position/credible/roussos_2024/variant_figures/roussos_2024.childhood.Astrocyte/rs7685673_profile_position.png",4,220,900)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-0.1492062732</v>
      </c>
      <c r="G3033" t="n">
        <v>0.0368297321961843</v>
      </c>
      <c r="H3033" t="n">
        <v>0.0261136434247966</v>
      </c>
      <c r="I3033" t="n">
        <v>0.0601984783699771</v>
      </c>
      <c r="J3033" t="n">
        <v>0.265168342072924</v>
      </c>
      <c r="K3033" t="n">
        <v>0.155073748348217</v>
      </c>
      <c r="L3033" t="b">
        <v>0</v>
      </c>
      <c r="M3033" t="b">
        <v>0</v>
      </c>
      <c r="N3033" t="inlineStr">
        <is>
          <t>ref</t>
        </is>
      </c>
      <c r="O3033" t="n">
        <v>-70</v>
      </c>
      <c r="P3033" t="n">
        <v>0.00865</v>
      </c>
      <c r="Q3033" t="n">
        <v>-55</v>
      </c>
      <c r="R3033" t="n">
        <v>0.03882</v>
      </c>
      <c r="S3033">
        <f>IMAGE("https://mitra.stanford.edu/kundaje/oak/projects/neuro-variants/variant_position/credible/roussos_2024/variant_figures/roussos_2024.childhood.Astrocyte/rs111284769_count_position.png",4,220,900)</f>
        <v/>
      </c>
      <c r="T3033">
        <f>IMAGE("https://mitra.stanford.edu/kundaje/oak/projects/neuro-variants/variant_position/credible/roussos_2024/variant_figures/roussos_2024.childhood.Astrocyte/rs111284769_profile_position.png",4,220,900)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0.0600859474</v>
      </c>
      <c r="G3034" t="n">
        <v>0.1337732850838769</v>
      </c>
      <c r="H3034" t="n">
        <v>0.0240802628970926</v>
      </c>
      <c r="I3034" t="n">
        <v>0.0676996152041638</v>
      </c>
      <c r="J3034" t="n">
        <v>0.2812774304839977</v>
      </c>
      <c r="K3034" t="n">
        <v>0.1443245169804303</v>
      </c>
      <c r="L3034" t="b">
        <v>0</v>
      </c>
      <c r="M3034" t="b">
        <v>0</v>
      </c>
      <c r="N3034" t="inlineStr">
        <is>
          <t>alt</t>
        </is>
      </c>
      <c r="O3034" t="n">
        <v>-90</v>
      </c>
      <c r="P3034" t="n">
        <v>0.00987</v>
      </c>
      <c r="Q3034" t="n">
        <v>-85</v>
      </c>
      <c r="R3034" t="n">
        <v>0.11816</v>
      </c>
      <c r="S3034">
        <f>IMAGE("https://mitra.stanford.edu/kundaje/oak/projects/neuro-variants/variant_position/credible/roussos_2024/variant_figures/roussos_2024.childhood.Astrocyte/rs112181396_count_position.png",4,220,900)</f>
        <v/>
      </c>
      <c r="T3034">
        <f>IMAGE("https://mitra.stanford.edu/kundaje/oak/projects/neuro-variants/variant_position/credible/roussos_2024/variant_figures/roussos_2024.childhood.Astrocyte/rs112181396_profile_position.png",4,220,900)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0.022689701756</v>
      </c>
      <c r="G3035" t="n">
        <v>0.4810899970468681</v>
      </c>
      <c r="H3035" t="n">
        <v>0.0270507715438727</v>
      </c>
      <c r="I3035" t="n">
        <v>0.044859656297428</v>
      </c>
      <c r="J3035" t="n">
        <v>0.0010289055284589</v>
      </c>
      <c r="K3035" t="n">
        <v>0.9058349749685708</v>
      </c>
      <c r="L3035" t="b">
        <v>0</v>
      </c>
      <c r="M3035" t="b">
        <v>0</v>
      </c>
      <c r="N3035" t="inlineStr">
        <is>
          <t>alt</t>
        </is>
      </c>
      <c r="O3035" t="n">
        <v>0</v>
      </c>
      <c r="P3035" t="n">
        <v>0</v>
      </c>
      <c r="Q3035" t="n">
        <v>25</v>
      </c>
      <c r="R3035" t="n">
        <v>0.03827</v>
      </c>
      <c r="S3035">
        <f>IMAGE("https://mitra.stanford.edu/kundaje/oak/projects/neuro-variants/variant_position/credible/roussos_2024/variant_figures/roussos_2024.childhood.Astrocyte/rs35781550_count_position.png",4,220,900)</f>
        <v/>
      </c>
      <c r="T3035">
        <f>IMAGE("https://mitra.stanford.edu/kundaje/oak/projects/neuro-variants/variant_position/credible/roussos_2024/variant_figures/roussos_2024.childhood.Astrocyte/rs35781550_profile_position.png",4,220,900)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-0.0456526662</v>
      </c>
      <c r="G3036" t="n">
        <v>0.2484357607070678</v>
      </c>
      <c r="H3036" t="n">
        <v>0.0129709485653529</v>
      </c>
      <c r="I3036" t="n">
        <v>0.4341844523544219</v>
      </c>
      <c r="J3036" t="n">
        <v>0.0016883820689549</v>
      </c>
      <c r="K3036" t="n">
        <v>0.8694504157094931</v>
      </c>
      <c r="L3036" t="b">
        <v>0</v>
      </c>
      <c r="M3036" t="b">
        <v>0</v>
      </c>
      <c r="N3036" t="inlineStr">
        <is>
          <t>ref</t>
        </is>
      </c>
      <c r="O3036" t="n">
        <v>-50</v>
      </c>
      <c r="P3036" t="n">
        <v>0.01611</v>
      </c>
      <c r="Q3036" t="n">
        <v>-100</v>
      </c>
      <c r="R3036" t="n">
        <v>0.08690000000000001</v>
      </c>
      <c r="S3036">
        <f>IMAGE("https://mitra.stanford.edu/kundaje/oak/projects/neuro-variants/variant_position/credible/roussos_2024/variant_figures/roussos_2024.childhood.Astrocyte/rs36044581_count_position.png",4,220,900)</f>
        <v/>
      </c>
      <c r="T3036">
        <f>IMAGE("https://mitra.stanford.edu/kundaje/oak/projects/neuro-variants/variant_position/credible/roussos_2024/variant_figures/roussos_2024.childhood.Astrocyte/rs36044581_profile_position.png",4,220,900)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0.01983611958</v>
      </c>
      <c r="G3037" t="n">
        <v>0.4427477106277216</v>
      </c>
      <c r="H3037" t="n">
        <v>0.0146350625370594</v>
      </c>
      <c r="I3037" t="n">
        <v>0.3149691239618876</v>
      </c>
      <c r="J3037" t="n">
        <v>0.0063940219672856</v>
      </c>
      <c r="K3037" t="n">
        <v>0.7483310788623913</v>
      </c>
      <c r="L3037" t="b">
        <v>0</v>
      </c>
      <c r="M3037" t="b">
        <v>0</v>
      </c>
      <c r="N3037" t="inlineStr">
        <is>
          <t>alt</t>
        </is>
      </c>
      <c r="O3037" t="n">
        <v>40</v>
      </c>
      <c r="P3037" t="n">
        <v>0.002281</v>
      </c>
      <c r="Q3037" t="n">
        <v>0</v>
      </c>
      <c r="R3037" t="n">
        <v>0</v>
      </c>
      <c r="S3037">
        <f>IMAGE("https://mitra.stanford.edu/kundaje/oak/projects/neuro-variants/variant_position/credible/roussos_2024/variant_figures/roussos_2024.childhood.Astrocyte/rs6824510_count_position.png",4,220,900)</f>
        <v/>
      </c>
      <c r="T3037">
        <f>IMAGE("https://mitra.stanford.edu/kundaje/oak/projects/neuro-variants/variant_position/credible/roussos_2024/variant_figures/roussos_2024.childhood.Astrocyte/rs6824510_profile_position.png",4,220,900)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0.041676015</v>
      </c>
      <c r="G3038" t="n">
        <v>0.2440878529260818</v>
      </c>
      <c r="H3038" t="n">
        <v>0.0155365743269094</v>
      </c>
      <c r="I3038" t="n">
        <v>0.277261985588195</v>
      </c>
      <c r="J3038" t="n">
        <v>0.0053048170792211</v>
      </c>
      <c r="K3038" t="n">
        <v>0.7671558367512286</v>
      </c>
      <c r="L3038" t="b">
        <v>0</v>
      </c>
      <c r="M3038" t="b">
        <v>0</v>
      </c>
      <c r="N3038" t="inlineStr">
        <is>
          <t>alt</t>
        </is>
      </c>
      <c r="O3038" t="n">
        <v>85</v>
      </c>
      <c r="P3038" t="n">
        <v>0.006466</v>
      </c>
      <c r="Q3038" t="n">
        <v>65</v>
      </c>
      <c r="R3038" t="n">
        <v>0.12494</v>
      </c>
      <c r="S3038">
        <f>IMAGE("https://mitra.stanford.edu/kundaje/oak/projects/neuro-variants/variant_position/credible/roussos_2024/variant_figures/roussos_2024.childhood.Astrocyte/rs7690302_count_position.png",4,220,900)</f>
        <v/>
      </c>
      <c r="T3038">
        <f>IMAGE("https://mitra.stanford.edu/kundaje/oak/projects/neuro-variants/variant_position/credible/roussos_2024/variant_figures/roussos_2024.childhood.Astrocyte/rs7690302_profile_position.png",4,220,900)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0.0147159558</v>
      </c>
      <c r="G3039" t="n">
        <v>0.6057303072863502</v>
      </c>
      <c r="H3039" t="n">
        <v>0.017208696903208</v>
      </c>
      <c r="I3039" t="n">
        <v>0.1992405254433977</v>
      </c>
      <c r="J3039" t="n">
        <v>0.004691900803737</v>
      </c>
      <c r="K3039" t="n">
        <v>0.7782109189215061</v>
      </c>
      <c r="L3039" t="b">
        <v>0</v>
      </c>
      <c r="M3039" t="b">
        <v>0</v>
      </c>
      <c r="N3039" t="inlineStr">
        <is>
          <t>alt</t>
        </is>
      </c>
      <c r="O3039" t="n">
        <v>15</v>
      </c>
      <c r="P3039" t="n">
        <v>0.005653</v>
      </c>
      <c r="Q3039" t="n">
        <v>-100</v>
      </c>
      <c r="R3039" t="n">
        <v>0.04828</v>
      </c>
      <c r="S3039">
        <f>IMAGE("https://mitra.stanford.edu/kundaje/oak/projects/neuro-variants/variant_position/credible/roussos_2024/variant_figures/roussos_2024.childhood.Astrocyte/rs13113901_count_position.png",4,220,900)</f>
        <v/>
      </c>
      <c r="T3039">
        <f>IMAGE("https://mitra.stanford.edu/kundaje/oak/projects/neuro-variants/variant_position/credible/roussos_2024/variant_figures/roussos_2024.childhood.Astrocyte/rs13113901_profile_position.png",4,220,900)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-0.009348809600000001</v>
      </c>
      <c r="G3040" t="n">
        <v>0.7530624759441349</v>
      </c>
      <c r="H3040" t="n">
        <v>0.0269912823844143</v>
      </c>
      <c r="I3040" t="n">
        <v>0.044580037469648</v>
      </c>
      <c r="J3040" t="n">
        <v>0.006460427591155</v>
      </c>
      <c r="K3040" t="n">
        <v>0.7433878397032873</v>
      </c>
      <c r="L3040" t="b">
        <v>0</v>
      </c>
      <c r="M3040" t="b">
        <v>0</v>
      </c>
      <c r="N3040" t="inlineStr">
        <is>
          <t>ref</t>
        </is>
      </c>
      <c r="O3040" t="n">
        <v>40</v>
      </c>
      <c r="P3040" t="n">
        <v>0.003433</v>
      </c>
      <c r="Q3040" t="n">
        <v>50</v>
      </c>
      <c r="R3040" t="n">
        <v>0.0547</v>
      </c>
      <c r="S3040">
        <f>IMAGE("https://mitra.stanford.edu/kundaje/oak/projects/neuro-variants/variant_position/credible/roussos_2024/variant_figures/roussos_2024.childhood.Astrocyte/rs7658506_count_position.png",4,220,900)</f>
        <v/>
      </c>
      <c r="T3040">
        <f>IMAGE("https://mitra.stanford.edu/kundaje/oak/projects/neuro-variants/variant_position/credible/roussos_2024/variant_figures/roussos_2024.childhood.Astrocyte/rs7658506_profile_position.png",4,220,900)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0.0108227203</v>
      </c>
      <c r="G3041" t="n">
        <v>0.6981906146556354</v>
      </c>
      <c r="H3041" t="n">
        <v>0.018000348047998</v>
      </c>
      <c r="I3041" t="n">
        <v>0.177748971884567</v>
      </c>
      <c r="J3041" t="n">
        <v>0.0051811652278781</v>
      </c>
      <c r="K3041" t="n">
        <v>0.7685087589014667</v>
      </c>
      <c r="L3041" t="b">
        <v>0</v>
      </c>
      <c r="M3041" t="b">
        <v>0</v>
      </c>
      <c r="N3041" t="inlineStr">
        <is>
          <t>alt</t>
        </is>
      </c>
      <c r="O3041" t="n">
        <v>10</v>
      </c>
      <c r="P3041" t="n">
        <v>4.58e-05</v>
      </c>
      <c r="Q3041" t="n">
        <v>70</v>
      </c>
      <c r="R3041" t="n">
        <v>0.01773</v>
      </c>
      <c r="S3041">
        <f>IMAGE("https://mitra.stanford.edu/kundaje/oak/projects/neuro-variants/variant_position/credible/roussos_2024/variant_figures/roussos_2024.childhood.Astrocyte/rs7681085_count_position.png",4,220,900)</f>
        <v/>
      </c>
      <c r="T3041">
        <f>IMAGE("https://mitra.stanford.edu/kundaje/oak/projects/neuro-variants/variant_position/credible/roussos_2024/variant_figures/roussos_2024.childhood.Astrocyte/rs7681085_profile_position.png",4,220,900)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-0.0555734141999999</v>
      </c>
      <c r="G3042" t="n">
        <v>0.1927589917409326</v>
      </c>
      <c r="H3042" t="n">
        <v>0.0112278232987529</v>
      </c>
      <c r="I3042" t="n">
        <v>0.5932084574102537</v>
      </c>
      <c r="J3042" t="n">
        <v>0.0013884118369932</v>
      </c>
      <c r="K3042" t="n">
        <v>0.9071558064477008</v>
      </c>
      <c r="L3042" t="b">
        <v>0</v>
      </c>
      <c r="M3042" t="b">
        <v>0</v>
      </c>
      <c r="N3042" t="inlineStr">
        <is>
          <t>ref</t>
        </is>
      </c>
      <c r="O3042" t="n">
        <v>-40</v>
      </c>
      <c r="P3042" t="n">
        <v>0.005386</v>
      </c>
      <c r="Q3042" t="n">
        <v>0</v>
      </c>
      <c r="R3042" t="n">
        <v>0</v>
      </c>
      <c r="S3042">
        <f>IMAGE("https://mitra.stanford.edu/kundaje/oak/projects/neuro-variants/variant_position/credible/roussos_2024/variant_figures/roussos_2024.childhood.Astrocyte/rs13115626_count_position.png",4,220,900)</f>
        <v/>
      </c>
      <c r="T3042">
        <f>IMAGE("https://mitra.stanford.edu/kundaje/oak/projects/neuro-variants/variant_position/credible/roussos_2024/variant_figures/roussos_2024.childhood.Astrocyte/rs13115626_profile_position.png",4,220,900)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0.2093062419999999</v>
      </c>
      <c r="G3043" t="n">
        <v>0.0152052512106505</v>
      </c>
      <c r="H3043" t="n">
        <v>0.0247432784922573</v>
      </c>
      <c r="I3043" t="n">
        <v>0.0653980393989346</v>
      </c>
      <c r="J3043" t="n">
        <v>0.008251852869562501</v>
      </c>
      <c r="K3043" t="n">
        <v>0.7276738289877294</v>
      </c>
      <c r="L3043" t="b">
        <v>1</v>
      </c>
      <c r="M3043" t="b">
        <v>0</v>
      </c>
      <c r="N3043" t="inlineStr">
        <is>
          <t>alt</t>
        </is>
      </c>
      <c r="O3043" t="n">
        <v>-20</v>
      </c>
      <c r="P3043" t="n">
        <v>0.0249</v>
      </c>
      <c r="Q3043" t="n">
        <v>-20</v>
      </c>
      <c r="R3043" t="n">
        <v>0.0354</v>
      </c>
      <c r="S3043">
        <f>IMAGE("https://mitra.stanford.edu/kundaje/oak/projects/neuro-variants/variant_position/credible/roussos_2024/variant_figures/roussos_2024.childhood.Astrocyte/rs4695202_count_position.png",4,220,900)</f>
        <v/>
      </c>
      <c r="T3043">
        <f>IMAGE("https://mitra.stanford.edu/kundaje/oak/projects/neuro-variants/variant_position/credible/roussos_2024/variant_figures/roussos_2024.childhood.Astrocyte/rs4695202_profile_position.png",4,220,900)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-0.0473191814</v>
      </c>
      <c r="G3044" t="n">
        <v>0.2370741928283962</v>
      </c>
      <c r="H3044" t="n">
        <v>0.0116085019486417</v>
      </c>
      <c r="I3044" t="n">
        <v>0.5437556247174496</v>
      </c>
      <c r="J3044" t="n">
        <v>0.0001763183806186</v>
      </c>
      <c r="K3044" t="n">
        <v>0.9774514111534984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0.013084</v>
      </c>
      <c r="Q3044" t="n">
        <v>-100</v>
      </c>
      <c r="R3044" t="n">
        <v>0.08953999999999999</v>
      </c>
      <c r="S3044">
        <f>IMAGE("https://mitra.stanford.edu/kundaje/oak/projects/neuro-variants/variant_position/credible/roussos_2024/variant_figures/roussos_2024.childhood.Astrocyte/rs28584485_count_position.png",4,220,900)</f>
        <v/>
      </c>
      <c r="T3044">
        <f>IMAGE("https://mitra.stanford.edu/kundaje/oak/projects/neuro-variants/variant_position/credible/roussos_2024/variant_figures/roussos_2024.childhood.Astrocyte/rs28584485_profile_position.png",4,220,900)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-0.03258484868</v>
      </c>
      <c r="G3045" t="n">
        <v>0.373737975975855</v>
      </c>
      <c r="H3045" t="n">
        <v>0.0188495250351134</v>
      </c>
      <c r="I3045" t="n">
        <v>0.1591021498016732</v>
      </c>
      <c r="J3045" t="n">
        <v>0.0158602581423217</v>
      </c>
      <c r="K3045" t="n">
        <v>0.62422609060234</v>
      </c>
      <c r="L3045" t="b">
        <v>0</v>
      </c>
      <c r="M3045" t="b">
        <v>0</v>
      </c>
      <c r="N3045" t="inlineStr">
        <is>
          <t>ref</t>
        </is>
      </c>
      <c r="O3045" t="n">
        <v>-40</v>
      </c>
      <c r="P3045" t="n">
        <v>0.004513</v>
      </c>
      <c r="Q3045" t="n">
        <v>-45</v>
      </c>
      <c r="R3045" t="n">
        <v>0.09520000000000001</v>
      </c>
      <c r="S3045">
        <f>IMAGE("https://mitra.stanford.edu/kundaje/oak/projects/neuro-variants/variant_position/credible/roussos_2024/variant_figures/roussos_2024.childhood.Astrocyte/rs4426746_count_position.png",4,220,900)</f>
        <v/>
      </c>
      <c r="T3045">
        <f>IMAGE("https://mitra.stanford.edu/kundaje/oak/projects/neuro-variants/variant_position/credible/roussos_2024/variant_figures/roussos_2024.childhood.Astrocyte/rs4426746_profile_position.png",4,220,900)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-0.152965652</v>
      </c>
      <c r="G3046" t="n">
        <v>0.0299867805186912</v>
      </c>
      <c r="H3046" t="n">
        <v>0.0222784187757424</v>
      </c>
      <c r="I3046" t="n">
        <v>0.0875472175248683</v>
      </c>
      <c r="J3046" t="n">
        <v>0.06627204933861509</v>
      </c>
      <c r="K3046" t="n">
        <v>0.4054235390249557</v>
      </c>
      <c r="L3046" t="b">
        <v>0</v>
      </c>
      <c r="M3046" t="b">
        <v>0</v>
      </c>
      <c r="N3046" t="inlineStr">
        <is>
          <t>ref</t>
        </is>
      </c>
      <c r="O3046" t="n">
        <v>95</v>
      </c>
      <c r="P3046" t="n">
        <v>0.0723</v>
      </c>
      <c r="Q3046" t="n">
        <v>100</v>
      </c>
      <c r="R3046" t="n">
        <v>0.09180000000000001</v>
      </c>
      <c r="S3046">
        <f>IMAGE("https://mitra.stanford.edu/kundaje/oak/projects/neuro-variants/variant_position/credible/roussos_2024/variant_figures/roussos_2024.childhood.Astrocyte/rs13108290_count_position.png",4,220,900)</f>
        <v/>
      </c>
      <c r="T3046">
        <f>IMAGE("https://mitra.stanford.edu/kundaje/oak/projects/neuro-variants/variant_position/credible/roussos_2024/variant_figures/roussos_2024.childhood.Astrocyte/rs13108290_profile_position.png",4,220,900)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-0.1674307599999999</v>
      </c>
      <c r="G3047" t="n">
        <v>0.0261220913507922</v>
      </c>
      <c r="H3047" t="n">
        <v>0.0288504964689767</v>
      </c>
      <c r="I3047" t="n">
        <v>0.037202097762659</v>
      </c>
      <c r="J3047" t="n">
        <v>0.0268019204201109</v>
      </c>
      <c r="K3047" t="n">
        <v>0.5553949982143741</v>
      </c>
      <c r="L3047" t="b">
        <v>0</v>
      </c>
      <c r="M3047" t="b">
        <v>0</v>
      </c>
      <c r="N3047" t="inlineStr">
        <is>
          <t>ref</t>
        </is>
      </c>
      <c r="O3047" t="n">
        <v>80</v>
      </c>
      <c r="P3047" t="n">
        <v>0.01234</v>
      </c>
      <c r="Q3047" t="n">
        <v>40</v>
      </c>
      <c r="R3047" t="n">
        <v>0.10864</v>
      </c>
      <c r="S3047">
        <f>IMAGE("https://mitra.stanford.edu/kundaje/oak/projects/neuro-variants/variant_position/credible/roussos_2024/variant_figures/roussos_2024.childhood.Astrocyte/rs7671128_count_position.png",4,220,900)</f>
        <v/>
      </c>
      <c r="T3047">
        <f>IMAGE("https://mitra.stanford.edu/kundaje/oak/projects/neuro-variants/variant_position/credible/roussos_2024/variant_figures/roussos_2024.childhood.Astrocyte/rs7671128_profile_position.png",4,220,900)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0.0031817879999999</v>
      </c>
      <c r="G3048" t="n">
        <v>0.297427125675996</v>
      </c>
      <c r="H3048" t="n">
        <v>0.0142728889832419</v>
      </c>
      <c r="I3048" t="n">
        <v>0.3448272465384734</v>
      </c>
      <c r="J3048" t="n">
        <v>0.0164289040018929</v>
      </c>
      <c r="K3048" t="n">
        <v>0.6208295064840497</v>
      </c>
      <c r="L3048" t="b">
        <v>0</v>
      </c>
      <c r="M3048" t="b">
        <v>0</v>
      </c>
      <c r="N3048" t="inlineStr">
        <is>
          <t>alt</t>
        </is>
      </c>
      <c r="O3048" t="n">
        <v>-85</v>
      </c>
      <c r="P3048" t="n">
        <v>0.01198</v>
      </c>
      <c r="Q3048" t="n">
        <v>-100</v>
      </c>
      <c r="R3048" t="n">
        <v>0.09370000000000001</v>
      </c>
      <c r="S3048">
        <f>IMAGE("https://mitra.stanford.edu/kundaje/oak/projects/neuro-variants/variant_position/credible/roussos_2024/variant_figures/roussos_2024.childhood.Astrocyte/rs7675843_count_position.png",4,220,900)</f>
        <v/>
      </c>
      <c r="T3048">
        <f>IMAGE("https://mitra.stanford.edu/kundaje/oak/projects/neuro-variants/variant_position/credible/roussos_2024/variant_figures/roussos_2024.childhood.Astrocyte/rs7675843_profile_position.png",4,220,900)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0.0094441646399999</v>
      </c>
      <c r="G3049" t="n">
        <v>0.7331662309731585</v>
      </c>
      <c r="H3049" t="n">
        <v>0.0329498253694807</v>
      </c>
      <c r="I3049" t="n">
        <v>0.0206395194444439</v>
      </c>
      <c r="J3049" t="n">
        <v>0.021323838092403</v>
      </c>
      <c r="K3049" t="n">
        <v>0.5940574572445424</v>
      </c>
      <c r="L3049" t="b">
        <v>0</v>
      </c>
      <c r="M3049" t="b">
        <v>0</v>
      </c>
      <c r="N3049" t="inlineStr">
        <is>
          <t>alt</t>
        </is>
      </c>
      <c r="O3049" t="n">
        <v>75</v>
      </c>
      <c r="P3049" t="n">
        <v>0.007812</v>
      </c>
      <c r="Q3049" t="n">
        <v>100</v>
      </c>
      <c r="R3049" t="n">
        <v>0.3591</v>
      </c>
      <c r="S3049">
        <f>IMAGE("https://mitra.stanford.edu/kundaje/oak/projects/neuro-variants/variant_position/credible/roussos_2024/variant_figures/roussos_2024.childhood.Astrocyte/rs9685762_count_position.png",4,220,900)</f>
        <v/>
      </c>
      <c r="T3049">
        <f>IMAGE("https://mitra.stanford.edu/kundaje/oak/projects/neuro-variants/variant_position/credible/roussos_2024/variant_figures/roussos_2024.childhood.Astrocyte/rs9685762_profile_position.png",4,220,900)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0.23753653</v>
      </c>
      <c r="G3050" t="n">
        <v>0.0107987278324558</v>
      </c>
      <c r="H3050" t="n">
        <v>0.0292247824763625</v>
      </c>
      <c r="I3050" t="n">
        <v>0.0349830464004497</v>
      </c>
      <c r="J3050" t="n">
        <v>0.08337340569256479</v>
      </c>
      <c r="K3050" t="n">
        <v>0.3649661496430776</v>
      </c>
      <c r="L3050" t="b">
        <v>1</v>
      </c>
      <c r="M3050" t="b">
        <v>0</v>
      </c>
      <c r="N3050" t="inlineStr">
        <is>
          <t>alt</t>
        </is>
      </c>
      <c r="O3050" t="n">
        <v>-50</v>
      </c>
      <c r="P3050" t="n">
        <v>0.001495</v>
      </c>
      <c r="Q3050" t="n">
        <v>-50</v>
      </c>
      <c r="R3050" t="n">
        <v>0.03076</v>
      </c>
      <c r="S3050">
        <f>IMAGE("https://mitra.stanford.edu/kundaje/oak/projects/neuro-variants/variant_position/credible/roussos_2024/variant_figures/roussos_2024.childhood.Astrocyte/rs17005062_count_position.png",4,220,900)</f>
        <v/>
      </c>
      <c r="T3050">
        <f>IMAGE("https://mitra.stanford.edu/kundaje/oak/projects/neuro-variants/variant_position/credible/roussos_2024/variant_figures/roussos_2024.childhood.Astrocyte/rs17005062_profile_position.png",4,220,900)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0.0108749748799999</v>
      </c>
      <c r="G3051" t="n">
        <v>0.7017146059094423</v>
      </c>
      <c r="H3051" t="n">
        <v>0.0071753055026293</v>
      </c>
      <c r="I3051" t="n">
        <v>0.9592586023235116</v>
      </c>
      <c r="J3051" t="n">
        <v>0.0080694282246799</v>
      </c>
      <c r="K3051" t="n">
        <v>0.7218134893241277</v>
      </c>
      <c r="L3051" t="b">
        <v>0</v>
      </c>
      <c r="M3051" t="b">
        <v>0</v>
      </c>
      <c r="N3051" t="inlineStr">
        <is>
          <t>alt</t>
        </is>
      </c>
      <c r="O3051" t="n">
        <v>-55</v>
      </c>
      <c r="P3051" t="n">
        <v>0.008545000000000001</v>
      </c>
      <c r="Q3051" t="n">
        <v>-80</v>
      </c>
      <c r="R3051" t="n">
        <v>0.09810000000000001</v>
      </c>
      <c r="S3051">
        <f>IMAGE("https://mitra.stanford.edu/kundaje/oak/projects/neuro-variants/variant_position/credible/roussos_2024/variant_figures/roussos_2024.childhood.Astrocyte/rs1443539_count_position.png",4,220,900)</f>
        <v/>
      </c>
      <c r="T3051">
        <f>IMAGE("https://mitra.stanford.edu/kundaje/oak/projects/neuro-variants/variant_position/credible/roussos_2024/variant_figures/roussos_2024.childhood.Astrocyte/rs1443539_profile_position.png",4,220,900)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0.04723189126</v>
      </c>
      <c r="G3052" t="n">
        <v>0.250508913716934</v>
      </c>
      <c r="H3052" t="n">
        <v>0.0176198675867591</v>
      </c>
      <c r="I3052" t="n">
        <v>0.1862512765200765</v>
      </c>
      <c r="J3052" t="n">
        <v>0.0364895086747116</v>
      </c>
      <c r="K3052" t="n">
        <v>0.5422608024260726</v>
      </c>
      <c r="L3052" t="b">
        <v>0</v>
      </c>
      <c r="M3052" t="b">
        <v>0</v>
      </c>
      <c r="N3052" t="inlineStr">
        <is>
          <t>alt</t>
        </is>
      </c>
      <c r="O3052" t="n">
        <v>-25</v>
      </c>
      <c r="P3052" t="n">
        <v>0.0012865</v>
      </c>
      <c r="Q3052" t="n">
        <v>-50</v>
      </c>
      <c r="R3052" t="n">
        <v>0.0564</v>
      </c>
      <c r="S3052">
        <f>IMAGE("https://mitra.stanford.edu/kundaje/oak/projects/neuro-variants/variant_position/credible/roussos_2024/variant_figures/roussos_2024.childhood.Astrocyte/rs151421_count_position.png",4,220,900)</f>
        <v/>
      </c>
      <c r="T3052">
        <f>IMAGE("https://mitra.stanford.edu/kundaje/oak/projects/neuro-variants/variant_position/credible/roussos_2024/variant_figures/roussos_2024.childhood.Astrocyte/rs151421_profile_position.png",4,220,900)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0.0908913032</v>
      </c>
      <c r="G3053" t="n">
        <v>0.0849871016008331</v>
      </c>
      <c r="H3053" t="n">
        <v>0.0100981256108797</v>
      </c>
      <c r="I3053" t="n">
        <v>0.6919582007356474</v>
      </c>
      <c r="J3053" t="n">
        <v>0.0013578805156739</v>
      </c>
      <c r="K3053" t="n">
        <v>0.8857891067248427</v>
      </c>
      <c r="L3053" t="b">
        <v>0</v>
      </c>
      <c r="M3053" t="b">
        <v>0</v>
      </c>
      <c r="N3053" t="inlineStr">
        <is>
          <t>alt</t>
        </is>
      </c>
      <c r="O3053" t="n">
        <v>-100</v>
      </c>
      <c r="P3053" t="n">
        <v>0.01715</v>
      </c>
      <c r="Q3053" t="n">
        <v>20</v>
      </c>
      <c r="R3053" t="n">
        <v>0.0772</v>
      </c>
      <c r="S3053">
        <f>IMAGE("https://mitra.stanford.edu/kundaje/oak/projects/neuro-variants/variant_position/credible/roussos_2024/variant_figures/roussos_2024.childhood.Astrocyte/rs150898_count_position.png",4,220,900)</f>
        <v/>
      </c>
      <c r="T3053">
        <f>IMAGE("https://mitra.stanford.edu/kundaje/oak/projects/neuro-variants/variant_position/credible/roussos_2024/variant_figures/roussos_2024.childhood.Astrocyte/rs150898_profile_position.png",4,220,900)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-0.0299791294</v>
      </c>
      <c r="G3054" t="n">
        <v>0.3809629652400269</v>
      </c>
      <c r="H3054" t="n">
        <v>0.0131416064176133</v>
      </c>
      <c r="I3054" t="n">
        <v>0.4216468154549874</v>
      </c>
      <c r="J3054" t="n">
        <v>0.0005060566508666</v>
      </c>
      <c r="K3054" t="n">
        <v>0.9359754749380012</v>
      </c>
      <c r="L3054" t="b">
        <v>0</v>
      </c>
      <c r="M3054" t="b">
        <v>0</v>
      </c>
      <c r="N3054" t="inlineStr">
        <is>
          <t>ref</t>
        </is>
      </c>
      <c r="O3054" t="n">
        <v>40</v>
      </c>
      <c r="P3054" t="n">
        <v>0.02771</v>
      </c>
      <c r="Q3054" t="n">
        <v>100</v>
      </c>
      <c r="R3054" t="n">
        <v>0.03802</v>
      </c>
      <c r="S3054">
        <f>IMAGE("https://mitra.stanford.edu/kundaje/oak/projects/neuro-variants/variant_position/credible/roussos_2024/variant_figures/roussos_2024.childhood.Astrocyte/rs223473_count_position.png",4,220,900)</f>
        <v/>
      </c>
      <c r="T3054">
        <f>IMAGE("https://mitra.stanford.edu/kundaje/oak/projects/neuro-variants/variant_position/credible/roussos_2024/variant_figures/roussos_2024.childhood.Astrocyte/rs223473_profile_position.png",4,220,900)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0.0060048754999999</v>
      </c>
      <c r="G3055" t="n">
        <v>0.7568985486736534</v>
      </c>
      <c r="H3055" t="n">
        <v>0.0095521308830336</v>
      </c>
      <c r="I3055" t="n">
        <v>0.7532930988595627</v>
      </c>
      <c r="J3055" t="n">
        <v>0.0030142046972437</v>
      </c>
      <c r="K3055" t="n">
        <v>0.8307976358051981</v>
      </c>
      <c r="L3055" t="b">
        <v>0</v>
      </c>
      <c r="M3055" t="b">
        <v>0</v>
      </c>
      <c r="N3055" t="inlineStr">
        <is>
          <t>alt</t>
        </is>
      </c>
      <c r="O3055" t="n">
        <v>-35</v>
      </c>
      <c r="P3055" t="n">
        <v>0.00116</v>
      </c>
      <c r="Q3055" t="n">
        <v>-50</v>
      </c>
      <c r="R3055" t="n">
        <v>0.022</v>
      </c>
      <c r="S3055">
        <f>IMAGE("https://mitra.stanford.edu/kundaje/oak/projects/neuro-variants/variant_position/credible/roussos_2024/variant_figures/roussos_2024.childhood.Astrocyte/rs223471_count_position.png",4,220,900)</f>
        <v/>
      </c>
      <c r="T3055">
        <f>IMAGE("https://mitra.stanford.edu/kundaje/oak/projects/neuro-variants/variant_position/credible/roussos_2024/variant_figures/roussos_2024.childhood.Astrocyte/rs223471_profile_position.png",4,220,900)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-0.0205178645999999</v>
      </c>
      <c r="G3056" t="n">
        <v>0.5269797869093166</v>
      </c>
      <c r="H3056" t="n">
        <v>0.0484405495309158</v>
      </c>
      <c r="I3056" t="n">
        <v>0.004489931305057</v>
      </c>
      <c r="J3056" t="n">
        <v>0.0057208063321959</v>
      </c>
      <c r="K3056" t="n">
        <v>0.7670010441832509</v>
      </c>
      <c r="L3056" t="b">
        <v>0</v>
      </c>
      <c r="M3056" t="b">
        <v>0</v>
      </c>
      <c r="N3056" t="inlineStr">
        <is>
          <t>ref</t>
        </is>
      </c>
      <c r="O3056" t="n">
        <v>50</v>
      </c>
      <c r="P3056" t="n">
        <v>0.0391</v>
      </c>
      <c r="Q3056" t="n">
        <v>80</v>
      </c>
      <c r="R3056" t="n">
        <v>0.1787</v>
      </c>
      <c r="S3056">
        <f>IMAGE("https://mitra.stanford.edu/kundaje/oak/projects/neuro-variants/variant_position/credible/roussos_2024/variant_figures/roussos_2024.childhood.Astrocyte/rs223465_count_position.png",4,220,900)</f>
        <v/>
      </c>
      <c r="T3056">
        <f>IMAGE("https://mitra.stanford.edu/kundaje/oak/projects/neuro-variants/variant_position/credible/roussos_2024/variant_figures/roussos_2024.childhood.Astrocyte/rs223465_profile_position.png",4,220,900)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-0.0043683036799999</v>
      </c>
      <c r="G3057" t="n">
        <v>0.8163475530521819</v>
      </c>
      <c r="H3057" t="n">
        <v>0.0105668160839522</v>
      </c>
      <c r="I3057" t="n">
        <v>0.6506722919052641</v>
      </c>
      <c r="J3057" t="n">
        <v>0.0013792524405974</v>
      </c>
      <c r="K3057" t="n">
        <v>0.8939721186946901</v>
      </c>
      <c r="L3057" t="b">
        <v>0</v>
      </c>
      <c r="M3057" t="b">
        <v>0</v>
      </c>
      <c r="N3057" t="inlineStr">
        <is>
          <t>ref</t>
        </is>
      </c>
      <c r="O3057" t="n">
        <v>15</v>
      </c>
      <c r="P3057" t="n">
        <v>0.000942</v>
      </c>
      <c r="Q3057" t="n">
        <v>-45</v>
      </c>
      <c r="R3057" t="n">
        <v>0.1394</v>
      </c>
      <c r="S3057">
        <f>IMAGE("https://mitra.stanford.edu/kundaje/oak/projects/neuro-variants/variant_position/credible/roussos_2024/variant_figures/roussos_2024.childhood.Astrocyte/rs223460_count_position.png",4,220,900)</f>
        <v/>
      </c>
      <c r="T3057">
        <f>IMAGE("https://mitra.stanford.edu/kundaje/oak/projects/neuro-variants/variant_position/credible/roussos_2024/variant_figures/roussos_2024.childhood.Astrocyte/rs223460_profile_position.png",4,220,900)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0.104626244</v>
      </c>
      <c r="G3058" t="n">
        <v>0.0630463448710091</v>
      </c>
      <c r="H3058" t="n">
        <v>0.013671129446179</v>
      </c>
      <c r="I3058" t="n">
        <v>0.384003880310398</v>
      </c>
      <c r="J3058" t="n">
        <v>0.0043858243075114</v>
      </c>
      <c r="K3058" t="n">
        <v>0.7870064078103657</v>
      </c>
      <c r="L3058" t="b">
        <v>0</v>
      </c>
      <c r="M3058" t="b">
        <v>0</v>
      </c>
      <c r="N3058" t="inlineStr">
        <is>
          <t>alt</t>
        </is>
      </c>
      <c r="O3058" t="n">
        <v>-100</v>
      </c>
      <c r="P3058" t="n">
        <v>0.02075</v>
      </c>
      <c r="Q3058" t="n">
        <v>50</v>
      </c>
      <c r="R3058" t="n">
        <v>0.005005</v>
      </c>
      <c r="S3058">
        <f>IMAGE("https://mitra.stanford.edu/kundaje/oak/projects/neuro-variants/variant_position/credible/roussos_2024/variant_figures/roussos_2024.childhood.Astrocyte/rs223456_count_position.png",4,220,900)</f>
        <v/>
      </c>
      <c r="T3058">
        <f>IMAGE("https://mitra.stanford.edu/kundaje/oak/projects/neuro-variants/variant_position/credible/roussos_2024/variant_figures/roussos_2024.childhood.Astrocyte/rs223456_profile_position.png",4,220,900)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0.07613294499999999</v>
      </c>
      <c r="G3059" t="n">
        <v>0.1163625795583955</v>
      </c>
      <c r="H3059" t="n">
        <v>0.0100842828018881</v>
      </c>
      <c r="I3059" t="n">
        <v>0.6877917565452667</v>
      </c>
      <c r="J3059" t="n">
        <v>0.09438452672635531</v>
      </c>
      <c r="K3059" t="n">
        <v>0.3321718581648585</v>
      </c>
      <c r="L3059" t="b">
        <v>0</v>
      </c>
      <c r="M3059" t="b">
        <v>0</v>
      </c>
      <c r="N3059" t="inlineStr">
        <is>
          <t>alt</t>
        </is>
      </c>
      <c r="O3059" t="n">
        <v>90</v>
      </c>
      <c r="P3059" t="n">
        <v>0.007275</v>
      </c>
      <c r="Q3059" t="n">
        <v>35</v>
      </c>
      <c r="R3059" t="n">
        <v>0.079</v>
      </c>
      <c r="S3059">
        <f>IMAGE("https://mitra.stanford.edu/kundaje/oak/projects/neuro-variants/variant_position/credible/roussos_2024/variant_figures/roussos_2024.childhood.Astrocyte/rs223434_count_position.png",4,220,900)</f>
        <v/>
      </c>
      <c r="T3059">
        <f>IMAGE("https://mitra.stanford.edu/kundaje/oak/projects/neuro-variants/variant_position/credible/roussos_2024/variant_figures/roussos_2024.childhood.Astrocyte/rs223434_profile_position.png",4,220,900)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-0.01233881552</v>
      </c>
      <c r="G3060" t="n">
        <v>0.6412446697747402</v>
      </c>
      <c r="H3060" t="n">
        <v>0.0276075757304916</v>
      </c>
      <c r="I3060" t="n">
        <v>0.0404574028076285</v>
      </c>
      <c r="J3060" t="n">
        <v>0.0049269919778953</v>
      </c>
      <c r="K3060" t="n">
        <v>0.7953773338083637</v>
      </c>
      <c r="L3060" t="b">
        <v>0</v>
      </c>
      <c r="M3060" t="b">
        <v>0</v>
      </c>
      <c r="N3060" t="inlineStr">
        <is>
          <t>ref</t>
        </is>
      </c>
      <c r="O3060" t="n">
        <v>-5</v>
      </c>
      <c r="P3060" t="n">
        <v>0.00235</v>
      </c>
      <c r="Q3060" t="n">
        <v>40</v>
      </c>
      <c r="R3060" t="n">
        <v>0.0702</v>
      </c>
      <c r="S3060">
        <f>IMAGE("https://mitra.stanford.edu/kundaje/oak/projects/neuro-variants/variant_position/credible/roussos_2024/variant_figures/roussos_2024.childhood.Astrocyte/rs223426_count_position.png",4,220,900)</f>
        <v/>
      </c>
      <c r="T3060">
        <f>IMAGE("https://mitra.stanford.edu/kundaje/oak/projects/neuro-variants/variant_position/credible/roussos_2024/variant_figures/roussos_2024.childhood.Astrocyte/rs223426_profile_position.png",4,220,900)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-0.039677916</v>
      </c>
      <c r="G3061" t="n">
        <v>0.2902442234145592</v>
      </c>
      <c r="H3061" t="n">
        <v>0.0120065105289382</v>
      </c>
      <c r="I3061" t="n">
        <v>0.5117575044998658</v>
      </c>
      <c r="J3061" t="n">
        <v>0.0130368742033233</v>
      </c>
      <c r="K3061" t="n">
        <v>0.651683393605045</v>
      </c>
      <c r="L3061" t="b">
        <v>0</v>
      </c>
      <c r="M3061" t="b">
        <v>0</v>
      </c>
      <c r="N3061" t="inlineStr">
        <is>
          <t>ref</t>
        </is>
      </c>
      <c r="O3061" t="n">
        <v>-65</v>
      </c>
      <c r="P3061" t="n">
        <v>0.01299</v>
      </c>
      <c r="Q3061" t="n">
        <v>45</v>
      </c>
      <c r="R3061" t="n">
        <v>0.039</v>
      </c>
      <c r="S3061">
        <f>IMAGE("https://mitra.stanford.edu/kundaje/oak/projects/neuro-variants/variant_position/credible/roussos_2024/variant_figures/roussos_2024.childhood.Astrocyte/rs223415_count_position.png",4,220,900)</f>
        <v/>
      </c>
      <c r="T3061">
        <f>IMAGE("https://mitra.stanford.edu/kundaje/oak/projects/neuro-variants/variant_position/credible/roussos_2024/variant_figures/roussos_2024.childhood.Astrocyte/rs223415_profile_position.png",4,220,900)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0.03598558302</v>
      </c>
      <c r="G3062" t="n">
        <v>0.3936377698500239</v>
      </c>
      <c r="H3062" t="n">
        <v>0.0196908244186073</v>
      </c>
      <c r="I3062" t="n">
        <v>0.132433640424962</v>
      </c>
      <c r="J3062" t="n">
        <v>0.0780998832176959</v>
      </c>
      <c r="K3062" t="n">
        <v>0.3660856167101872</v>
      </c>
      <c r="L3062" t="b">
        <v>0</v>
      </c>
      <c r="M3062" t="b">
        <v>0</v>
      </c>
      <c r="N3062" t="inlineStr">
        <is>
          <t>alt</t>
        </is>
      </c>
      <c r="O3062" t="n">
        <v>100</v>
      </c>
      <c r="P3062" t="n">
        <v>0.0064</v>
      </c>
      <c r="Q3062" t="n">
        <v>-55</v>
      </c>
      <c r="R3062" t="n">
        <v>0.0977</v>
      </c>
      <c r="S3062">
        <f>IMAGE("https://mitra.stanford.edu/kundaje/oak/projects/neuro-variants/variant_position/credible/roussos_2024/variant_figures/roussos_2024.childhood.Astrocyte/rs223412_count_position.png",4,220,900)</f>
        <v/>
      </c>
      <c r="T3062">
        <f>IMAGE("https://mitra.stanford.edu/kundaje/oak/projects/neuro-variants/variant_position/credible/roussos_2024/variant_figures/roussos_2024.childhood.Astrocyte/rs223412_profile_position.png",4,220,900)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-0.0011006133999999</v>
      </c>
      <c r="G3063" t="n">
        <v>0.6345523159176201</v>
      </c>
      <c r="H3063" t="n">
        <v>0.0405666885744681</v>
      </c>
      <c r="I3063" t="n">
        <v>0.0091935450675925</v>
      </c>
      <c r="J3063" t="n">
        <v>0.0151664338653415</v>
      </c>
      <c r="K3063" t="n">
        <v>0.6325974630590545</v>
      </c>
      <c r="L3063" t="b">
        <v>1</v>
      </c>
      <c r="M3063" t="b">
        <v>0</v>
      </c>
      <c r="N3063" t="inlineStr">
        <is>
          <t>ref</t>
        </is>
      </c>
      <c r="O3063" t="n">
        <v>70</v>
      </c>
      <c r="P3063" t="n">
        <v>0.003334</v>
      </c>
      <c r="Q3063" t="n">
        <v>-90</v>
      </c>
      <c r="R3063" t="n">
        <v>0.0897</v>
      </c>
      <c r="S3063">
        <f>IMAGE("https://mitra.stanford.edu/kundaje/oak/projects/neuro-variants/variant_position/credible/roussos_2024/variant_figures/roussos_2024.childhood.Astrocyte/rs223406_count_position.png",4,220,900)</f>
        <v/>
      </c>
      <c r="T3063">
        <f>IMAGE("https://mitra.stanford.edu/kundaje/oak/projects/neuro-variants/variant_position/credible/roussos_2024/variant_figures/roussos_2024.childhood.Astrocyte/rs223406_profile_position.png",4,220,900)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-0.0475009011999999</v>
      </c>
      <c r="G3064" t="n">
        <v>0.2588072063198576</v>
      </c>
      <c r="H3064" t="n">
        <v>0.0371670841982714</v>
      </c>
      <c r="I3064" t="n">
        <v>0.0130421259995332</v>
      </c>
      <c r="J3064" t="n">
        <v>0.0226282887957683</v>
      </c>
      <c r="K3064" t="n">
        <v>0.573655642335732</v>
      </c>
      <c r="L3064" t="b">
        <v>1</v>
      </c>
      <c r="M3064" t="b">
        <v>0</v>
      </c>
      <c r="N3064" t="inlineStr">
        <is>
          <t>ref</t>
        </is>
      </c>
      <c r="O3064" t="n">
        <v>50</v>
      </c>
      <c r="P3064" t="n">
        <v>0.005928</v>
      </c>
      <c r="Q3064" t="n">
        <v>-60</v>
      </c>
      <c r="R3064" t="n">
        <v>0.04248</v>
      </c>
      <c r="S3064">
        <f>IMAGE("https://mitra.stanford.edu/kundaje/oak/projects/neuro-variants/variant_position/credible/roussos_2024/variant_figures/roussos_2024.childhood.Astrocyte/rs223395_count_position.png",4,220,900)</f>
        <v/>
      </c>
      <c r="T3064">
        <f>IMAGE("https://mitra.stanford.edu/kundaje/oak/projects/neuro-variants/variant_position/credible/roussos_2024/variant_figures/roussos_2024.childhood.Astrocyte/rs223395_profile_position.png",4,220,900)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0.0139672556</v>
      </c>
      <c r="G3065" t="n">
        <v>0.3997765867538938</v>
      </c>
      <c r="H3065" t="n">
        <v>0.01189446507197</v>
      </c>
      <c r="I3065" t="n">
        <v>0.5250727800995137</v>
      </c>
      <c r="J3065" t="n">
        <v>0.0127445368016913</v>
      </c>
      <c r="K3065" t="n">
        <v>0.6586896588399982</v>
      </c>
      <c r="L3065" t="b">
        <v>0</v>
      </c>
      <c r="M3065" t="b">
        <v>0</v>
      </c>
      <c r="N3065" t="inlineStr">
        <is>
          <t>alt</t>
        </is>
      </c>
      <c r="O3065" t="n">
        <v>-95</v>
      </c>
      <c r="P3065" t="n">
        <v>0.02937</v>
      </c>
      <c r="Q3065" t="n">
        <v>-65</v>
      </c>
      <c r="R3065" t="n">
        <v>0.1278</v>
      </c>
      <c r="S3065">
        <f>IMAGE("https://mitra.stanford.edu/kundaje/oak/projects/neuro-variants/variant_position/credible/roussos_2024/variant_figures/roussos_2024.childhood.Astrocyte/rs223380_count_position.png",4,220,900)</f>
        <v/>
      </c>
      <c r="T3065">
        <f>IMAGE("https://mitra.stanford.edu/kundaje/oak/projects/neuro-variants/variant_position/credible/roussos_2024/variant_figures/roussos_2024.childhood.Astrocyte/rs223380_profile_position.png",4,220,900)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0.009598841239999999</v>
      </c>
      <c r="G3066" t="n">
        <v>0.7301613179524141</v>
      </c>
      <c r="H3066" t="n">
        <v>0.0344581892752758</v>
      </c>
      <c r="I3066" t="n">
        <v>0.0177763239898428</v>
      </c>
      <c r="J3066" t="n">
        <v>0.0042301145687831</v>
      </c>
      <c r="K3066" t="n">
        <v>0.7913911477510256</v>
      </c>
      <c r="L3066" t="b">
        <v>0</v>
      </c>
      <c r="M3066" t="b">
        <v>0</v>
      </c>
      <c r="N3066" t="inlineStr">
        <is>
          <t>alt</t>
        </is>
      </c>
      <c r="O3066" t="n">
        <v>-90</v>
      </c>
      <c r="P3066" t="n">
        <v>0.01257</v>
      </c>
      <c r="Q3066" t="n">
        <v>-10</v>
      </c>
      <c r="R3066" t="n">
        <v>0.0191</v>
      </c>
      <c r="S3066">
        <f>IMAGE("https://mitra.stanford.edu/kundaje/oak/projects/neuro-variants/variant_position/credible/roussos_2024/variant_figures/roussos_2024.childhood.Astrocyte/rs223359_count_position.png",4,220,900)</f>
        <v/>
      </c>
      <c r="T3066">
        <f>IMAGE("https://mitra.stanford.edu/kundaje/oak/projects/neuro-variants/variant_position/credible/roussos_2024/variant_figures/roussos_2024.childhood.Astrocyte/rs223359_profile_position.png",4,220,900)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-0.0195715092</v>
      </c>
      <c r="G3067" t="n">
        <v>0.5470137192784845</v>
      </c>
      <c r="H3067" t="n">
        <v>0.0421662086283537</v>
      </c>
      <c r="I3067" t="n">
        <v>0.0078258432128412</v>
      </c>
      <c r="J3067" t="n">
        <v>0.0156763069313731</v>
      </c>
      <c r="K3067" t="n">
        <v>0.6474827155094826</v>
      </c>
      <c r="L3067" t="b">
        <v>1</v>
      </c>
      <c r="M3067" t="b">
        <v>0</v>
      </c>
      <c r="N3067" t="inlineStr">
        <is>
          <t>ref</t>
        </is>
      </c>
      <c r="O3067" t="n">
        <v>5</v>
      </c>
      <c r="P3067" t="n">
        <v>0.0004883</v>
      </c>
      <c r="Q3067" t="n">
        <v>100</v>
      </c>
      <c r="R3067" t="n">
        <v>0.2029</v>
      </c>
      <c r="S3067">
        <f>IMAGE("https://mitra.stanford.edu/kundaje/oak/projects/neuro-variants/variant_position/credible/roussos_2024/variant_figures/roussos_2024.childhood.Astrocyte/rs223357_count_position.png",4,220,900)</f>
        <v/>
      </c>
      <c r="T3067">
        <f>IMAGE("https://mitra.stanford.edu/kundaje/oak/projects/neuro-variants/variant_position/credible/roussos_2024/variant_figures/roussos_2024.childhood.Astrocyte/rs223357_profile_position.png",4,220,900)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-0.0655636186</v>
      </c>
      <c r="G3068" t="n">
        <v>0.1514164628484346</v>
      </c>
      <c r="H3068" t="n">
        <v>0.0120835936998532</v>
      </c>
      <c r="I3068" t="n">
        <v>0.5061569160740484</v>
      </c>
      <c r="J3068" t="n">
        <v>0.0133895109645607</v>
      </c>
      <c r="K3068" t="n">
        <v>0.6482544064528595</v>
      </c>
      <c r="L3068" t="b">
        <v>0</v>
      </c>
      <c r="M3068" t="b">
        <v>0</v>
      </c>
      <c r="N3068" t="inlineStr">
        <is>
          <t>ref</t>
        </is>
      </c>
      <c r="O3068" t="n">
        <v>55</v>
      </c>
      <c r="P3068" t="n">
        <v>0.005943</v>
      </c>
      <c r="Q3068" t="n">
        <v>100</v>
      </c>
      <c r="R3068" t="n">
        <v>0.0769</v>
      </c>
      <c r="S3068">
        <f>IMAGE("https://mitra.stanford.edu/kundaje/oak/projects/neuro-variants/variant_position/credible/roussos_2024/variant_figures/roussos_2024.childhood.Astrocyte/rs223353_count_position.png",4,220,900)</f>
        <v/>
      </c>
      <c r="T3068">
        <f>IMAGE("https://mitra.stanford.edu/kundaje/oak/projects/neuro-variants/variant_position/credible/roussos_2024/variant_figures/roussos_2024.childhood.Astrocyte/rs223353_profile_position.png",4,220,900)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-0.0717588472</v>
      </c>
      <c r="G3069" t="n">
        <v>0.129941615294951</v>
      </c>
      <c r="H3069" t="n">
        <v>0.0119120388284312</v>
      </c>
      <c r="I3069" t="n">
        <v>0.5236098632901744</v>
      </c>
      <c r="J3069" t="n">
        <v>0.0016616671628005</v>
      </c>
      <c r="K3069" t="n">
        <v>0.8702909618309312</v>
      </c>
      <c r="L3069" t="b">
        <v>0</v>
      </c>
      <c r="M3069" t="b">
        <v>0</v>
      </c>
      <c r="N3069" t="inlineStr">
        <is>
          <t>ref</t>
        </is>
      </c>
      <c r="O3069" t="n">
        <v>30</v>
      </c>
      <c r="P3069" t="n">
        <v>0.03723</v>
      </c>
      <c r="Q3069" t="n">
        <v>25</v>
      </c>
      <c r="R3069" t="n">
        <v>0.03323</v>
      </c>
      <c r="S3069">
        <f>IMAGE("https://mitra.stanford.edu/kundaje/oak/projects/neuro-variants/variant_position/credible/roussos_2024/variant_figures/roussos_2024.childhood.Astrocyte/rs223351_count_position.png",4,220,900)</f>
        <v/>
      </c>
      <c r="T3069">
        <f>IMAGE("https://mitra.stanford.edu/kundaje/oak/projects/neuro-variants/variant_position/credible/roussos_2024/variant_figures/roussos_2024.childhood.Astrocyte/rs223351_profile_position.png",4,220,900)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0.00614890774</v>
      </c>
      <c r="G3070" t="n">
        <v>0.8170487646538115</v>
      </c>
      <c r="H3070" t="n">
        <v>0.030698368832108</v>
      </c>
      <c r="I3070" t="n">
        <v>0.0271993261990168</v>
      </c>
      <c r="J3070" t="n">
        <v>0.0033424164014257</v>
      </c>
      <c r="K3070" t="n">
        <v>0.8149102609489369</v>
      </c>
      <c r="L3070" t="b">
        <v>0</v>
      </c>
      <c r="M3070" t="b">
        <v>0</v>
      </c>
      <c r="N3070" t="inlineStr">
        <is>
          <t>alt</t>
        </is>
      </c>
      <c r="O3070" t="n">
        <v>-85</v>
      </c>
      <c r="P3070" t="n">
        <v>0.01074</v>
      </c>
      <c r="Q3070" t="n">
        <v>-70</v>
      </c>
      <c r="R3070" t="n">
        <v>0.08704000000000001</v>
      </c>
      <c r="S3070">
        <f>IMAGE("https://mitra.stanford.edu/kundaje/oak/projects/neuro-variants/variant_position/credible/roussos_2024/variant_figures/roussos_2024.childhood.Astrocyte/rs223341_count_position.png",4,220,900)</f>
        <v/>
      </c>
      <c r="T3070">
        <f>IMAGE("https://mitra.stanford.edu/kundaje/oak/projects/neuro-variants/variant_position/credible/roussos_2024/variant_figures/roussos_2024.childhood.Astrocyte/rs223341_profile_position.png",4,220,900)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-0.1216166809999999</v>
      </c>
      <c r="G3071" t="n">
        <v>0.0507493413645407</v>
      </c>
      <c r="H3071" t="n">
        <v>0.030001155385631</v>
      </c>
      <c r="I3071" t="n">
        <v>0.0313127216187599</v>
      </c>
      <c r="J3071" t="n">
        <v>0.9761206903131751</v>
      </c>
      <c r="K3071" t="n">
        <v>3.573747586966903e-05</v>
      </c>
      <c r="L3071" t="b">
        <v>0</v>
      </c>
      <c r="M3071" t="b">
        <v>0</v>
      </c>
      <c r="N3071" t="inlineStr">
        <is>
          <t>ref</t>
        </is>
      </c>
      <c r="O3071" t="n">
        <v>-100</v>
      </c>
      <c r="P3071" t="n">
        <v>0.02673</v>
      </c>
      <c r="Q3071" t="n">
        <v>-55</v>
      </c>
      <c r="R3071" t="n">
        <v>0.206</v>
      </c>
      <c r="S3071">
        <f>IMAGE("https://mitra.stanford.edu/kundaje/oak/projects/neuro-variants/variant_position/credible/roussos_2024/variant_figures/roussos_2024.childhood.Astrocyte/rs223332_count_position.png",4,220,900)</f>
        <v/>
      </c>
      <c r="T3071">
        <f>IMAGE("https://mitra.stanford.edu/kundaje/oak/projects/neuro-variants/variant_position/credible/roussos_2024/variant_figures/roussos_2024.childhood.Astrocyte/rs223332_profile_position.png",4,220,900)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-0.0452078</v>
      </c>
      <c r="G3072" t="n">
        <v>0.2488593374585696</v>
      </c>
      <c r="H3072" t="n">
        <v>0.009477025452043699</v>
      </c>
      <c r="I3072" t="n">
        <v>0.768917755819955</v>
      </c>
      <c r="J3072" t="n">
        <v>0.0045751184996908</v>
      </c>
      <c r="K3072" t="n">
        <v>0.7816279282819387</v>
      </c>
      <c r="L3072" t="b">
        <v>0</v>
      </c>
      <c r="M3072" t="b">
        <v>0</v>
      </c>
      <c r="N3072" t="inlineStr">
        <is>
          <t>ref</t>
        </is>
      </c>
      <c r="O3072" t="n">
        <v>95</v>
      </c>
      <c r="P3072" t="n">
        <v>0.02367</v>
      </c>
      <c r="Q3072" t="n">
        <v>-100</v>
      </c>
      <c r="R3072" t="n">
        <v>0.305</v>
      </c>
      <c r="S3072">
        <f>IMAGE("https://mitra.stanford.edu/kundaje/oak/projects/neuro-variants/variant_position/credible/roussos_2024/variant_figures/roussos_2024.childhood.Astrocyte/rs223329_count_position.png",4,220,900)</f>
        <v/>
      </c>
      <c r="T3072">
        <f>IMAGE("https://mitra.stanford.edu/kundaje/oak/projects/neuro-variants/variant_position/credible/roussos_2024/variant_figures/roussos_2024.childhood.Astrocyte/rs223329_profile_position.png",4,220,900)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-0.0411814662</v>
      </c>
      <c r="G3073" t="n">
        <v>0.1614594706124576</v>
      </c>
      <c r="H3073" t="n">
        <v>0.0145856624493518</v>
      </c>
      <c r="I3073" t="n">
        <v>0.3205365245953305</v>
      </c>
      <c r="J3073" t="n">
        <v>0.2287757703434009</v>
      </c>
      <c r="K3073" t="n">
        <v>0.1789553639853211</v>
      </c>
      <c r="L3073" t="b">
        <v>0</v>
      </c>
      <c r="M3073" t="b">
        <v>0</v>
      </c>
      <c r="N3073" t="inlineStr">
        <is>
          <t>ref</t>
        </is>
      </c>
      <c r="O3073" t="n">
        <v>90</v>
      </c>
      <c r="P3073" t="n">
        <v>0.01978</v>
      </c>
      <c r="Q3073" t="n">
        <v>90</v>
      </c>
      <c r="R3073" t="n">
        <v>0.2761</v>
      </c>
      <c r="S3073">
        <f>IMAGE("https://mitra.stanford.edu/kundaje/oak/projects/neuro-variants/variant_position/credible/roussos_2024/variant_figures/roussos_2024.childhood.Astrocyte/rs223311_count_position.png",4,220,900)</f>
        <v/>
      </c>
      <c r="T3073">
        <f>IMAGE("https://mitra.stanford.edu/kundaje/oak/projects/neuro-variants/variant_position/credible/roussos_2024/variant_figures/roussos_2024.childhood.Astrocyte/rs223311_profile_position.png",4,220,900)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0.128308546</v>
      </c>
      <c r="G3074" t="n">
        <v>0.046107977803145</v>
      </c>
      <c r="H3074" t="n">
        <v>0.0220283240493352</v>
      </c>
      <c r="I3074" t="n">
        <v>0.0914029159953568</v>
      </c>
      <c r="J3074" t="n">
        <v>0.0949585155671574</v>
      </c>
      <c r="K3074" t="n">
        <v>0.3437717203409652</v>
      </c>
      <c r="L3074" t="b">
        <v>0</v>
      </c>
      <c r="M3074" t="b">
        <v>0</v>
      </c>
      <c r="N3074" t="inlineStr">
        <is>
          <t>alt</t>
        </is>
      </c>
      <c r="O3074" t="n">
        <v>80</v>
      </c>
      <c r="P3074" t="n">
        <v>0.00521</v>
      </c>
      <c r="Q3074" t="n">
        <v>-100</v>
      </c>
      <c r="R3074" t="n">
        <v>0.2308</v>
      </c>
      <c r="S3074">
        <f>IMAGE("https://mitra.stanford.edu/kundaje/oak/projects/neuro-variants/variant_position/credible/roussos_2024/variant_figures/roussos_2024.childhood.Astrocyte/rs223310_count_position.png",4,220,900)</f>
        <v/>
      </c>
      <c r="T3074">
        <f>IMAGE("https://mitra.stanford.edu/kundaje/oak/projects/neuro-variants/variant_position/credible/roussos_2024/variant_figures/roussos_2024.childhood.Astrocyte/rs223310_profile_position.png",4,220,900)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0.0779230722</v>
      </c>
      <c r="G3075" t="n">
        <v>0.1104869993358979</v>
      </c>
      <c r="H3075" t="n">
        <v>0.0108881950616136</v>
      </c>
      <c r="I3075" t="n">
        <v>0.6209677647078244</v>
      </c>
      <c r="J3075" t="n">
        <v>0.01255218947738</v>
      </c>
      <c r="K3075" t="n">
        <v>0.6704276383733161</v>
      </c>
      <c r="L3075" t="b">
        <v>0</v>
      </c>
      <c r="M3075" t="b">
        <v>0</v>
      </c>
      <c r="N3075" t="inlineStr">
        <is>
          <t>alt</t>
        </is>
      </c>
      <c r="O3075" t="n">
        <v>95</v>
      </c>
      <c r="P3075" t="n">
        <v>0.01192</v>
      </c>
      <c r="Q3075" t="n">
        <v>40</v>
      </c>
      <c r="R3075" t="n">
        <v>0.01855</v>
      </c>
      <c r="S3075">
        <f>IMAGE("https://mitra.stanford.edu/kundaje/oak/projects/neuro-variants/variant_position/credible/roussos_2024/variant_figures/roussos_2024.childhood.Astrocyte/rs6830407_count_position.png",4,220,900)</f>
        <v/>
      </c>
      <c r="T3075">
        <f>IMAGE("https://mitra.stanford.edu/kundaje/oak/projects/neuro-variants/variant_position/credible/roussos_2024/variant_figures/roussos_2024.childhood.Astrocyte/rs6830407_profile_position.png",4,220,900)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0.00290608928</v>
      </c>
      <c r="G3076" t="n">
        <v>0.8273605258835696</v>
      </c>
      <c r="H3076" t="n">
        <v>0.0408632064279317</v>
      </c>
      <c r="I3076" t="n">
        <v>0.0088804655946813</v>
      </c>
      <c r="J3076" t="n">
        <v>0.1033492859487226</v>
      </c>
      <c r="K3076" t="n">
        <v>0.3207765673145667</v>
      </c>
      <c r="L3076" t="b">
        <v>1</v>
      </c>
      <c r="M3076" t="b">
        <v>1</v>
      </c>
      <c r="N3076" t="inlineStr">
        <is>
          <t>alt</t>
        </is>
      </c>
      <c r="O3076" t="n">
        <v>90</v>
      </c>
      <c r="P3076" t="n">
        <v>0.001221</v>
      </c>
      <c r="Q3076" t="n">
        <v>80</v>
      </c>
      <c r="R3076" t="n">
        <v>0.128</v>
      </c>
      <c r="S3076">
        <f>IMAGE("https://mitra.stanford.edu/kundaje/oak/projects/neuro-variants/variant_position/credible/roussos_2024/variant_figures/roussos_2024.childhood.Astrocyte/rs10012413_count_position.png",4,220,900)</f>
        <v/>
      </c>
      <c r="T3076">
        <f>IMAGE("https://mitra.stanford.edu/kundaje/oak/projects/neuro-variants/variant_position/credible/roussos_2024/variant_figures/roussos_2024.childhood.Astrocyte/rs10012413_profile_position.png",4,220,900)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0.32451795</v>
      </c>
      <c r="G3077" t="n">
        <v>0.0043535455096309</v>
      </c>
      <c r="H3077" t="n">
        <v>0.0441781143275625</v>
      </c>
      <c r="I3077" t="n">
        <v>0.0065186021942485</v>
      </c>
      <c r="J3077" t="n">
        <v>0.0226695060795493</v>
      </c>
      <c r="K3077" t="n">
        <v>0.5807126213848691</v>
      </c>
      <c r="L3077" t="b">
        <v>1</v>
      </c>
      <c r="M3077" t="b">
        <v>1</v>
      </c>
      <c r="N3077" t="inlineStr">
        <is>
          <t>alt</t>
        </is>
      </c>
      <c r="O3077" t="n">
        <v>100</v>
      </c>
      <c r="P3077" t="n">
        <v>0.004707</v>
      </c>
      <c r="Q3077" t="n">
        <v>-80</v>
      </c>
      <c r="R3077" t="n">
        <v>0.1293</v>
      </c>
      <c r="S3077">
        <f>IMAGE("https://mitra.stanford.edu/kundaje/oak/projects/neuro-variants/variant_position/credible/roussos_2024/variant_figures/roussos_2024.childhood.Astrocyte/rs4699033_count_position.png",4,220,900)</f>
        <v/>
      </c>
      <c r="T3077">
        <f>IMAGE("https://mitra.stanford.edu/kundaje/oak/projects/neuro-variants/variant_position/credible/roussos_2024/variant_figures/roussos_2024.childhood.Astrocyte/rs4699033_profile_position.png",4,220,900)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-0.0703307398</v>
      </c>
      <c r="G3078" t="n">
        <v>0.1318687269838259</v>
      </c>
      <c r="H3078" t="n">
        <v>0.0111625245971625</v>
      </c>
      <c r="I3078" t="n">
        <v>0.5968109906397203</v>
      </c>
      <c r="J3078" t="n">
        <v>0.0086533397449107</v>
      </c>
      <c r="K3078" t="n">
        <v>0.7158918656438149</v>
      </c>
      <c r="L3078" t="b">
        <v>0</v>
      </c>
      <c r="M3078" t="b">
        <v>0</v>
      </c>
      <c r="N3078" t="inlineStr">
        <is>
          <t>ref</t>
        </is>
      </c>
      <c r="O3078" t="n">
        <v>25</v>
      </c>
      <c r="P3078" t="n">
        <v>0.009094</v>
      </c>
      <c r="Q3078" t="n">
        <v>-15</v>
      </c>
      <c r="R3078" t="n">
        <v>0.01672</v>
      </c>
      <c r="S3078">
        <f>IMAGE("https://mitra.stanford.edu/kundaje/oak/projects/neuro-variants/variant_position/credible/roussos_2024/variant_figures/roussos_2024.childhood.Astrocyte/rs6821247_count_position.png",4,220,900)</f>
        <v/>
      </c>
      <c r="T3078">
        <f>IMAGE("https://mitra.stanford.edu/kundaje/oak/projects/neuro-variants/variant_position/credible/roussos_2024/variant_figures/roussos_2024.childhood.Astrocyte/rs6821247_profile_position.png",4,220,900)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-0.021207318</v>
      </c>
      <c r="G3079" t="n">
        <v>0.5119969191529034</v>
      </c>
      <c r="H3079" t="n">
        <v>0.0123697094764063</v>
      </c>
      <c r="I3079" t="n">
        <v>0.4844710017217388</v>
      </c>
      <c r="J3079" t="n">
        <v>0.0329265034767541</v>
      </c>
      <c r="K3079" t="n">
        <v>0.51861773155388</v>
      </c>
      <c r="L3079" t="b">
        <v>0</v>
      </c>
      <c r="M3079" t="b">
        <v>0</v>
      </c>
      <c r="N3079" t="inlineStr">
        <is>
          <t>ref</t>
        </is>
      </c>
      <c r="O3079" t="n">
        <v>-65</v>
      </c>
      <c r="P3079" t="n">
        <v>0.003475</v>
      </c>
      <c r="Q3079" t="n">
        <v>100</v>
      </c>
      <c r="R3079" t="n">
        <v>0.1782</v>
      </c>
      <c r="S3079">
        <f>IMAGE("https://mitra.stanford.edu/kundaje/oak/projects/neuro-variants/variant_position/credible/roussos_2024/variant_figures/roussos_2024.childhood.Astrocyte/rs59550147_count_position.png",4,220,900)</f>
        <v/>
      </c>
      <c r="T3079">
        <f>IMAGE("https://mitra.stanford.edu/kundaje/oak/projects/neuro-variants/variant_position/credible/roussos_2024/variant_figures/roussos_2024.childhood.Astrocyte/rs59550147_profile_position.png",4,220,900)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-0.0305639028</v>
      </c>
      <c r="G3080" t="n">
        <v>0.382853218073968</v>
      </c>
      <c r="H3080" t="n">
        <v>0.0102577986731744</v>
      </c>
      <c r="I3080" t="n">
        <v>0.6960851959204014</v>
      </c>
      <c r="J3080" t="n">
        <v>3.205788738522132e-05</v>
      </c>
      <c r="K3080" t="n">
        <v>0.997406052074191</v>
      </c>
      <c r="L3080" t="b">
        <v>0</v>
      </c>
      <c r="M3080" t="b">
        <v>0</v>
      </c>
      <c r="N3080" t="inlineStr">
        <is>
          <t>ref</t>
        </is>
      </c>
      <c r="O3080" t="n">
        <v>-70</v>
      </c>
      <c r="P3080" t="n">
        <v>0.00911</v>
      </c>
      <c r="Q3080" t="n">
        <v>100</v>
      </c>
      <c r="R3080" t="n">
        <v>0.09216000000000001</v>
      </c>
      <c r="S3080">
        <f>IMAGE("https://mitra.stanford.edu/kundaje/oak/projects/neuro-variants/variant_position/credible/roussos_2024/variant_figures/roussos_2024.childhood.Astrocyte/rs7437714_count_position.png",4,220,900)</f>
        <v/>
      </c>
      <c r="T3080">
        <f>IMAGE("https://mitra.stanford.edu/kundaje/oak/projects/neuro-variants/variant_position/credible/roussos_2024/variant_figures/roussos_2024.childhood.Astrocyte/rs7437714_profile_position.png",4,220,900)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-0.1282119574</v>
      </c>
      <c r="G3081" t="n">
        <v>0.050666387956614</v>
      </c>
      <c r="H3081" t="n">
        <v>0.0238093181340824</v>
      </c>
      <c r="I3081" t="n">
        <v>0.0700370654239942</v>
      </c>
      <c r="J3081" t="n">
        <v>0.0669315258791111</v>
      </c>
      <c r="K3081" t="n">
        <v>0.4080228929612758</v>
      </c>
      <c r="L3081" t="b">
        <v>0</v>
      </c>
      <c r="M3081" t="b">
        <v>0</v>
      </c>
      <c r="N3081" t="inlineStr">
        <is>
          <t>ref</t>
        </is>
      </c>
      <c r="O3081" t="n">
        <v>45</v>
      </c>
      <c r="P3081" t="n">
        <v>0.00847</v>
      </c>
      <c r="Q3081" t="n">
        <v>45</v>
      </c>
      <c r="R3081" t="n">
        <v>0.1067</v>
      </c>
      <c r="S3081">
        <f>IMAGE("https://mitra.stanford.edu/kundaje/oak/projects/neuro-variants/variant_position/credible/roussos_2024/variant_figures/roussos_2024.childhood.Astrocyte/rs3974602_count_position.png",4,220,900)</f>
        <v/>
      </c>
      <c r="T3081">
        <f>IMAGE("https://mitra.stanford.edu/kundaje/oak/projects/neuro-variants/variant_position/credible/roussos_2024/variant_figures/roussos_2024.childhood.Astrocyte/rs3974602_profile_position.png",4,220,900)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-0.0044850348</v>
      </c>
      <c r="G3082" t="n">
        <v>0.4855883479126218</v>
      </c>
      <c r="H3082" t="n">
        <v>0.008919923317452</v>
      </c>
      <c r="I3082" t="n">
        <v>0.8327119827025655</v>
      </c>
      <c r="J3082" t="n">
        <v>0.0168693183119232</v>
      </c>
      <c r="K3082" t="n">
        <v>0.6517944971954774</v>
      </c>
      <c r="L3082" t="b">
        <v>0</v>
      </c>
      <c r="M3082" t="b">
        <v>0</v>
      </c>
      <c r="N3082" t="inlineStr">
        <is>
          <t>ref</t>
        </is>
      </c>
      <c r="O3082" t="n">
        <v>-60</v>
      </c>
      <c r="P3082" t="n">
        <v>0.001362</v>
      </c>
      <c r="Q3082" t="n">
        <v>55</v>
      </c>
      <c r="R3082" t="n">
        <v>0.092</v>
      </c>
      <c r="S3082">
        <f>IMAGE("https://mitra.stanford.edu/kundaje/oak/projects/neuro-variants/variant_position/credible/roussos_2024/variant_figures/roussos_2024.childhood.Astrocyte/rs7676943_count_position.png",4,220,900)</f>
        <v/>
      </c>
      <c r="T3082">
        <f>IMAGE("https://mitra.stanford.edu/kundaje/oak/projects/neuro-variants/variant_position/credible/roussos_2024/variant_figures/roussos_2024.childhood.Astrocyte/rs7676943_profile_position.png",4,220,900)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0.16013612</v>
      </c>
      <c r="G3083" t="n">
        <v>0.0285054455824992</v>
      </c>
      <c r="H3083" t="n">
        <v>0.023280036138851</v>
      </c>
      <c r="I3083" t="n">
        <v>0.0767942896512786</v>
      </c>
      <c r="J3083" t="n">
        <v>0.0267813117782204</v>
      </c>
      <c r="K3083" t="n">
        <v>0.5959246088581516</v>
      </c>
      <c r="L3083" t="b">
        <v>0</v>
      </c>
      <c r="M3083" t="b">
        <v>0</v>
      </c>
      <c r="N3083" t="inlineStr">
        <is>
          <t>alt</t>
        </is>
      </c>
      <c r="O3083" t="n">
        <v>40</v>
      </c>
      <c r="P3083" t="n">
        <v>0.00615</v>
      </c>
      <c r="Q3083" t="n">
        <v>-90</v>
      </c>
      <c r="R3083" t="n">
        <v>0.08359999999999999</v>
      </c>
      <c r="S3083">
        <f>IMAGE("https://mitra.stanford.edu/kundaje/oak/projects/neuro-variants/variant_position/credible/roussos_2024/variant_figures/roussos_2024.childhood.Astrocyte/rs4446311_count_position.png",4,220,900)</f>
        <v/>
      </c>
      <c r="T3083">
        <f>IMAGE("https://mitra.stanford.edu/kundaje/oak/projects/neuro-variants/variant_position/credible/roussos_2024/variant_figures/roussos_2024.childhood.Astrocyte/rs4446311_profile_position.png",4,220,900)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0.037153341</v>
      </c>
      <c r="G3084" t="n">
        <v>0.30610003295603</v>
      </c>
      <c r="H3084" t="n">
        <v>0.0341162092194384</v>
      </c>
      <c r="I3084" t="n">
        <v>0.0182417770339479</v>
      </c>
      <c r="J3084" t="n">
        <v>0.016546449588972</v>
      </c>
      <c r="K3084" t="n">
        <v>0.6433796903506159</v>
      </c>
      <c r="L3084" t="b">
        <v>1</v>
      </c>
      <c r="M3084" t="b">
        <v>0</v>
      </c>
      <c r="N3084" t="inlineStr">
        <is>
          <t>alt</t>
        </is>
      </c>
      <c r="O3084" t="n">
        <v>-100</v>
      </c>
      <c r="P3084" t="n">
        <v>0.00354</v>
      </c>
      <c r="Q3084" t="n">
        <v>100</v>
      </c>
      <c r="R3084" t="n">
        <v>0.10956</v>
      </c>
      <c r="S3084">
        <f>IMAGE("https://mitra.stanford.edu/kundaje/oak/projects/neuro-variants/variant_position/credible/roussos_2024/variant_figures/roussos_2024.childhood.Astrocyte/rs6419160_count_position.png",4,220,900)</f>
        <v/>
      </c>
      <c r="T3084">
        <f>IMAGE("https://mitra.stanford.edu/kundaje/oak/projects/neuro-variants/variant_position/credible/roussos_2024/variant_figures/roussos_2024.childhood.Astrocyte/rs6419160_profile_position.png",4,220,900)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-0.0159976741599999</v>
      </c>
      <c r="G3085" t="n">
        <v>0.5581375390596056</v>
      </c>
      <c r="H3085" t="n">
        <v>0.0349626307559901</v>
      </c>
      <c r="I3085" t="n">
        <v>0.0167173964914677</v>
      </c>
      <c r="J3085" t="n">
        <v>0.0256111988886598</v>
      </c>
      <c r="K3085" t="n">
        <v>0.5844080281305806</v>
      </c>
      <c r="L3085" t="b">
        <v>1</v>
      </c>
      <c r="M3085" t="b">
        <v>0</v>
      </c>
      <c r="N3085" t="inlineStr">
        <is>
          <t>ref</t>
        </is>
      </c>
      <c r="O3085" t="n">
        <v>-70</v>
      </c>
      <c r="P3085" t="n">
        <v>0.006805</v>
      </c>
      <c r="Q3085" t="n">
        <v>85</v>
      </c>
      <c r="R3085" t="n">
        <v>0.0746</v>
      </c>
      <c r="S3085">
        <f>IMAGE("https://mitra.stanford.edu/kundaje/oak/projects/neuro-variants/variant_position/credible/roussos_2024/variant_figures/roussos_2024.childhood.Astrocyte/rs10017565_count_position.png",4,220,900)</f>
        <v/>
      </c>
      <c r="T3085">
        <f>IMAGE("https://mitra.stanford.edu/kundaje/oak/projects/neuro-variants/variant_position/credible/roussos_2024/variant_figures/roussos_2024.childhood.Astrocyte/rs10017565_profile_position.png",4,220,900)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0.0204985032</v>
      </c>
      <c r="G3086" t="n">
        <v>0.5177831232962612</v>
      </c>
      <c r="H3086" t="n">
        <v>0.0198103673542853</v>
      </c>
      <c r="I3086" t="n">
        <v>0.1306820808270723</v>
      </c>
      <c r="J3086" t="n">
        <v>0.0360948913466602</v>
      </c>
      <c r="K3086" t="n">
        <v>0.5249608567321229</v>
      </c>
      <c r="L3086" t="b">
        <v>0</v>
      </c>
      <c r="M3086" t="b">
        <v>0</v>
      </c>
      <c r="N3086" t="inlineStr">
        <is>
          <t>alt</t>
        </is>
      </c>
      <c r="O3086" t="n">
        <v>65</v>
      </c>
      <c r="P3086" t="n">
        <v>0.02197</v>
      </c>
      <c r="Q3086" t="n">
        <v>35</v>
      </c>
      <c r="R3086" t="n">
        <v>0.0152</v>
      </c>
      <c r="S3086">
        <f>IMAGE("https://mitra.stanford.edu/kundaje/oak/projects/neuro-variants/variant_position/credible/roussos_2024/variant_figures/roussos_2024.childhood.Astrocyte/rs11724035_count_position.png",4,220,900)</f>
        <v/>
      </c>
      <c r="T3086">
        <f>IMAGE("https://mitra.stanford.edu/kundaje/oak/projects/neuro-variants/variant_position/credible/roussos_2024/variant_figures/roussos_2024.childhood.Astrocyte/rs11724035_profile_position.png",4,220,900)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-0.0288570915999999</v>
      </c>
      <c r="G3087" t="n">
        <v>0.4058722876194356</v>
      </c>
      <c r="H3087" t="n">
        <v>0.0109256654081612</v>
      </c>
      <c r="I3087" t="n">
        <v>0.6014710463100715</v>
      </c>
      <c r="J3087" t="n">
        <v>0.0018914153557279</v>
      </c>
      <c r="K3087" t="n">
        <v>0.8658588449940519</v>
      </c>
      <c r="L3087" t="b">
        <v>0</v>
      </c>
      <c r="M3087" t="b">
        <v>0</v>
      </c>
      <c r="N3087" t="inlineStr">
        <is>
          <t>ref</t>
        </is>
      </c>
      <c r="O3087" t="n">
        <v>-100</v>
      </c>
      <c r="P3087" t="n">
        <v>0.01704</v>
      </c>
      <c r="Q3087" t="n">
        <v>-100</v>
      </c>
      <c r="R3087" t="n">
        <v>0.09937</v>
      </c>
      <c r="S3087">
        <f>IMAGE("https://mitra.stanford.edu/kundaje/oak/projects/neuro-variants/variant_position/credible/roussos_2024/variant_figures/roussos_2024.childhood.Astrocyte/rs6829718_count_position.png",4,220,900)</f>
        <v/>
      </c>
      <c r="T3087">
        <f>IMAGE("https://mitra.stanford.edu/kundaje/oak/projects/neuro-variants/variant_position/credible/roussos_2024/variant_figures/roussos_2024.childhood.Astrocyte/rs6829718_profile_position.png",4,220,900)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0.28311073</v>
      </c>
      <c r="G3088" t="n">
        <v>0.0074235166482997</v>
      </c>
      <c r="H3088" t="n">
        <v>0.035866739988376</v>
      </c>
      <c r="I3088" t="n">
        <v>0.016066922988015</v>
      </c>
      <c r="J3088" t="n">
        <v>0.0805584178669292</v>
      </c>
      <c r="K3088" t="n">
        <v>0.367287529291592</v>
      </c>
      <c r="L3088" t="b">
        <v>1</v>
      </c>
      <c r="M3088" t="b">
        <v>1</v>
      </c>
      <c r="N3088" t="inlineStr">
        <is>
          <t>alt</t>
        </is>
      </c>
      <c r="O3088" t="n">
        <v>-90</v>
      </c>
      <c r="P3088" t="n">
        <v>0.01192</v>
      </c>
      <c r="Q3088" t="n">
        <v>-70</v>
      </c>
      <c r="R3088" t="n">
        <v>0.02734</v>
      </c>
      <c r="S3088">
        <f>IMAGE("https://mitra.stanford.edu/kundaje/oak/projects/neuro-variants/variant_position/credible/roussos_2024/variant_figures/roussos_2024.childhood.Astrocyte/rs4235409_count_position.png",4,220,900)</f>
        <v/>
      </c>
      <c r="T3088">
        <f>IMAGE("https://mitra.stanford.edu/kundaje/oak/projects/neuro-variants/variant_position/credible/roussos_2024/variant_figures/roussos_2024.childhood.Astrocyte/rs4235409_profile_position.png",4,220,900)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-0.07134102220000001</v>
      </c>
      <c r="G3089" t="n">
        <v>0.1264194217913927</v>
      </c>
      <c r="H3089" t="n">
        <v>0.0112467247649307</v>
      </c>
      <c r="I3089" t="n">
        <v>0.5901824009112827</v>
      </c>
      <c r="J3089" t="n">
        <v>0.0004930808393059</v>
      </c>
      <c r="K3089" t="n">
        <v>0.947013494899541</v>
      </c>
      <c r="L3089" t="b">
        <v>0</v>
      </c>
      <c r="M3089" t="b">
        <v>0</v>
      </c>
      <c r="N3089" t="inlineStr">
        <is>
          <t>ref</t>
        </is>
      </c>
      <c r="O3089" t="n">
        <v>-20</v>
      </c>
      <c r="P3089" t="n">
        <v>0.003204</v>
      </c>
      <c r="Q3089" t="n">
        <v>-100</v>
      </c>
      <c r="R3089" t="n">
        <v>0.04202</v>
      </c>
      <c r="S3089">
        <f>IMAGE("https://mitra.stanford.edu/kundaje/oak/projects/neuro-variants/variant_position/credible/roussos_2024/variant_figures/roussos_2024.childhood.Astrocyte/rs3857198_count_position.png",4,220,900)</f>
        <v/>
      </c>
      <c r="T3089">
        <f>IMAGE("https://mitra.stanford.edu/kundaje/oak/projects/neuro-variants/variant_position/credible/roussos_2024/variant_figures/roussos_2024.childhood.Astrocyte/rs3857198_profile_position.png",4,220,900)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-0.0330752057999999</v>
      </c>
      <c r="G3090" t="n">
        <v>0.3552894443277642</v>
      </c>
      <c r="H3090" t="n">
        <v>0.0293168089381473</v>
      </c>
      <c r="I3090" t="n">
        <v>0.0325850383177278</v>
      </c>
      <c r="J3090" t="n">
        <v>0.058991092487005</v>
      </c>
      <c r="K3090" t="n">
        <v>0.4212633842219626</v>
      </c>
      <c r="L3090" t="b">
        <v>0</v>
      </c>
      <c r="M3090" t="b">
        <v>0</v>
      </c>
      <c r="N3090" t="inlineStr">
        <is>
          <t>ref</t>
        </is>
      </c>
      <c r="O3090" t="n">
        <v>95</v>
      </c>
      <c r="P3090" t="n">
        <v>0.01122</v>
      </c>
      <c r="Q3090" t="n">
        <v>100</v>
      </c>
      <c r="R3090" t="n">
        <v>0.1559</v>
      </c>
      <c r="S3090">
        <f>IMAGE("https://mitra.stanford.edu/kundaje/oak/projects/neuro-variants/variant_position/credible/roussos_2024/variant_figures/roussos_2024.childhood.Astrocyte/rs4698867_count_position.png",4,220,900)</f>
        <v/>
      </c>
      <c r="T3090">
        <f>IMAGE("https://mitra.stanford.edu/kundaje/oak/projects/neuro-variants/variant_position/credible/roussos_2024/variant_figures/roussos_2024.childhood.Astrocyte/rs4698867_profile_position.png",4,220,900)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0.0570174942</v>
      </c>
      <c r="G3091" t="n">
        <v>0.1948930117186512</v>
      </c>
      <c r="H3091" t="n">
        <v>0.0135147173407027</v>
      </c>
      <c r="I3091" t="n">
        <v>0.3937310539745697</v>
      </c>
      <c r="J3091" t="n">
        <v>0.0022219169090089</v>
      </c>
      <c r="K3091" t="n">
        <v>0.8521298677304897</v>
      </c>
      <c r="L3091" t="b">
        <v>0</v>
      </c>
      <c r="M3091" t="b">
        <v>0</v>
      </c>
      <c r="N3091" t="inlineStr">
        <is>
          <t>alt</t>
        </is>
      </c>
      <c r="O3091" t="n">
        <v>65</v>
      </c>
      <c r="P3091" t="n">
        <v>0.03174</v>
      </c>
      <c r="Q3091" t="n">
        <v>100</v>
      </c>
      <c r="R3091" t="n">
        <v>0.1069</v>
      </c>
      <c r="S3091">
        <f>IMAGE("https://mitra.stanford.edu/kundaje/oak/projects/neuro-variants/variant_position/credible/roussos_2024/variant_figures/roussos_2024.childhood.Astrocyte/rs7659468_count_position.png",4,220,900)</f>
        <v/>
      </c>
      <c r="T3091">
        <f>IMAGE("https://mitra.stanford.edu/kundaje/oak/projects/neuro-variants/variant_position/credible/roussos_2024/variant_figures/roussos_2024.childhood.Astrocyte/rs7659468_profile_position.png",4,220,900)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0.0427649195999999</v>
      </c>
      <c r="G3092" t="n">
        <v>0.2545584404063024</v>
      </c>
      <c r="H3092" t="n">
        <v>0.0217070597486192</v>
      </c>
      <c r="I3092" t="n">
        <v>0.0964405230628886</v>
      </c>
      <c r="J3092" t="n">
        <v>0.0018639371665406</v>
      </c>
      <c r="K3092" t="n">
        <v>0.8706709903563903</v>
      </c>
      <c r="L3092" t="b">
        <v>0</v>
      </c>
      <c r="M3092" t="b">
        <v>0</v>
      </c>
      <c r="N3092" t="inlineStr">
        <is>
          <t>alt</t>
        </is>
      </c>
      <c r="O3092" t="n">
        <v>100</v>
      </c>
      <c r="P3092" t="n">
        <v>0.02336</v>
      </c>
      <c r="Q3092" t="n">
        <v>-70</v>
      </c>
      <c r="R3092" t="n">
        <v>0.1086</v>
      </c>
      <c r="S3092">
        <f>IMAGE("https://mitra.stanford.edu/kundaje/oak/projects/neuro-variants/variant_position/credible/roussos_2024/variant_figures/roussos_2024.childhood.Astrocyte/rs4699044_count_position.png",4,220,900)</f>
        <v/>
      </c>
      <c r="T3092">
        <f>IMAGE("https://mitra.stanford.edu/kundaje/oak/projects/neuro-variants/variant_position/credible/roussos_2024/variant_figures/roussos_2024.childhood.Astrocyte/rs4699044_profile_position.png",4,220,900)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-0.0018272544999999</v>
      </c>
      <c r="G3093" t="n">
        <v>0.5740830247999534</v>
      </c>
      <c r="H3093" t="n">
        <v>0.008437139566105501</v>
      </c>
      <c r="I3093" t="n">
        <v>0.8471281702038941</v>
      </c>
      <c r="J3093" t="n">
        <v>8.090800149601446e-05</v>
      </c>
      <c r="K3093" t="n">
        <v>0.989982041688437</v>
      </c>
      <c r="L3093" t="b">
        <v>0</v>
      </c>
      <c r="M3093" t="b">
        <v>0</v>
      </c>
      <c r="N3093" t="inlineStr">
        <is>
          <t>ref</t>
        </is>
      </c>
      <c r="O3093" t="n">
        <v>0</v>
      </c>
      <c r="P3093" t="n">
        <v>0</v>
      </c>
      <c r="Q3093" t="n">
        <v>-25</v>
      </c>
      <c r="R3093" t="n">
        <v>0.03058</v>
      </c>
      <c r="S3093">
        <f>IMAGE("https://mitra.stanford.edu/kundaje/oak/projects/neuro-variants/variant_position/credible/roussos_2024/variant_figures/roussos_2024.childhood.Astrocyte/rs12508069_count_position.png",4,220,900)</f>
        <v/>
      </c>
      <c r="T3093">
        <f>IMAGE("https://mitra.stanford.edu/kundaje/oak/projects/neuro-variants/variant_position/credible/roussos_2024/variant_figures/roussos_2024.childhood.Astrocyte/rs12508069_profile_position.png",4,220,900)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0.00935414132</v>
      </c>
      <c r="G3094" t="n">
        <v>0.3759036575086494</v>
      </c>
      <c r="H3094" t="n">
        <v>0.0350225986845904</v>
      </c>
      <c r="I3094" t="n">
        <v>0.0169020878327241</v>
      </c>
      <c r="J3094" t="n">
        <v>0.0188882019341591</v>
      </c>
      <c r="K3094" t="n">
        <v>0.6125355457484977</v>
      </c>
      <c r="L3094" t="b">
        <v>1</v>
      </c>
      <c r="M3094" t="b">
        <v>0</v>
      </c>
      <c r="N3094" t="inlineStr">
        <is>
          <t>alt</t>
        </is>
      </c>
      <c r="O3094" t="n">
        <v>75</v>
      </c>
      <c r="P3094" t="n">
        <v>0.003845</v>
      </c>
      <c r="Q3094" t="n">
        <v>-40</v>
      </c>
      <c r="R3094" t="n">
        <v>0.04236</v>
      </c>
      <c r="S3094">
        <f>IMAGE("https://mitra.stanford.edu/kundaje/oak/projects/neuro-variants/variant_position/credible/roussos_2024/variant_figures/roussos_2024.childhood.Astrocyte/rs7688940_count_position.png",4,220,900)</f>
        <v/>
      </c>
      <c r="T3094">
        <f>IMAGE("https://mitra.stanford.edu/kundaje/oak/projects/neuro-variants/variant_position/credible/roussos_2024/variant_figures/roussos_2024.childhood.Astrocyte/rs7688940_profile_position.png",4,220,900)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0.0145820708</v>
      </c>
      <c r="G3095" t="n">
        <v>0.6185983340377289</v>
      </c>
      <c r="H3095" t="n">
        <v>0.009452895150275</v>
      </c>
      <c r="I3095" t="n">
        <v>0.7779609527905305</v>
      </c>
      <c r="J3095" t="n">
        <v>0.0028287269202292</v>
      </c>
      <c r="K3095" t="n">
        <v>0.8484332310374283</v>
      </c>
      <c r="L3095" t="b">
        <v>0</v>
      </c>
      <c r="M3095" t="b">
        <v>0</v>
      </c>
      <c r="N3095" t="inlineStr">
        <is>
          <t>alt</t>
        </is>
      </c>
      <c r="O3095" t="n">
        <v>-100</v>
      </c>
      <c r="P3095" t="n">
        <v>0.002045</v>
      </c>
      <c r="Q3095" t="n">
        <v>-85</v>
      </c>
      <c r="R3095" t="n">
        <v>0.179</v>
      </c>
      <c r="S3095">
        <f>IMAGE("https://mitra.stanford.edu/kundaje/oak/projects/neuro-variants/variant_position/credible/roussos_2024/variant_figures/roussos_2024.childhood.Astrocyte/rs13117110_count_position.png",4,220,900)</f>
        <v/>
      </c>
      <c r="T3095">
        <f>IMAGE("https://mitra.stanford.edu/kundaje/oak/projects/neuro-variants/variant_position/credible/roussos_2024/variant_figures/roussos_2024.childhood.Astrocyte/rs13117110_profile_position.png",4,220,900)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-0.0568016765999999</v>
      </c>
      <c r="G3096" t="n">
        <v>0.2011831344203683</v>
      </c>
      <c r="H3096" t="n">
        <v>0.0193709190968482</v>
      </c>
      <c r="I3096" t="n">
        <v>0.1471142591632132</v>
      </c>
      <c r="J3096" t="n">
        <v>0.0165021791730591</v>
      </c>
      <c r="K3096" t="n">
        <v>0.6199850543119151</v>
      </c>
      <c r="L3096" t="b">
        <v>0</v>
      </c>
      <c r="M3096" t="b">
        <v>0</v>
      </c>
      <c r="N3096" t="inlineStr">
        <is>
          <t>ref</t>
        </is>
      </c>
      <c r="O3096" t="n">
        <v>-100</v>
      </c>
      <c r="P3096" t="n">
        <v>0.00422</v>
      </c>
      <c r="Q3096" t="n">
        <v>70</v>
      </c>
      <c r="R3096" t="n">
        <v>0.0851</v>
      </c>
      <c r="S3096">
        <f>IMAGE("https://mitra.stanford.edu/kundaje/oak/projects/neuro-variants/variant_position/credible/roussos_2024/variant_figures/roussos_2024.childhood.Astrocyte/rs7695096_count_position.png",4,220,900)</f>
        <v/>
      </c>
      <c r="T3096">
        <f>IMAGE("https://mitra.stanford.edu/kundaje/oak/projects/neuro-variants/variant_position/credible/roussos_2024/variant_figures/roussos_2024.childhood.Astrocyte/rs7695096_profile_position.png",4,220,900)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-0.01520177092</v>
      </c>
      <c r="G3097" t="n">
        <v>0.6266477951147077</v>
      </c>
      <c r="H3097" t="n">
        <v>0.0224682305759616</v>
      </c>
      <c r="I3097" t="n">
        <v>0.0869586210251862</v>
      </c>
      <c r="J3097" t="n">
        <v>0.1529596299603855</v>
      </c>
      <c r="K3097" t="n">
        <v>0.2475369809098895</v>
      </c>
      <c r="L3097" t="b">
        <v>0</v>
      </c>
      <c r="M3097" t="b">
        <v>0</v>
      </c>
      <c r="N3097" t="inlineStr">
        <is>
          <t>ref</t>
        </is>
      </c>
      <c r="O3097" t="n">
        <v>25</v>
      </c>
      <c r="P3097" t="n">
        <v>0.00757</v>
      </c>
      <c r="Q3097" t="n">
        <v>65</v>
      </c>
      <c r="R3097" t="n">
        <v>0.05786</v>
      </c>
      <c r="S3097">
        <f>IMAGE("https://mitra.stanford.edu/kundaje/oak/projects/neuro-variants/variant_position/credible/roussos_2024/variant_figures/roussos_2024.childhood.Astrocyte/rs2905625_count_position.png",4,220,900)</f>
        <v/>
      </c>
      <c r="T3097">
        <f>IMAGE("https://mitra.stanford.edu/kundaje/oak/projects/neuro-variants/variant_position/credible/roussos_2024/variant_figures/roussos_2024.childhood.Astrocyte/rs2905625_profile_position.png",4,220,900)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0.0068046067999999</v>
      </c>
      <c r="G3098" t="n">
        <v>0.5685838919972575</v>
      </c>
      <c r="H3098" t="n">
        <v>0.0102677619718677</v>
      </c>
      <c r="I3098" t="n">
        <v>0.6813557728835767</v>
      </c>
      <c r="J3098" t="n">
        <v>0.0072176043598726</v>
      </c>
      <c r="K3098" t="n">
        <v>0.7337038433484288</v>
      </c>
      <c r="L3098" t="b">
        <v>0</v>
      </c>
      <c r="M3098" t="b">
        <v>0</v>
      </c>
      <c r="N3098" t="inlineStr">
        <is>
          <t>alt</t>
        </is>
      </c>
      <c r="O3098" t="n">
        <v>-80</v>
      </c>
      <c r="P3098" t="n">
        <v>0.002157</v>
      </c>
      <c r="Q3098" t="n">
        <v>50</v>
      </c>
      <c r="R3098" t="n">
        <v>0.03293</v>
      </c>
      <c r="S3098">
        <f>IMAGE("https://mitra.stanford.edu/kundaje/oak/projects/neuro-variants/variant_position/credible/roussos_2024/variant_figures/roussos_2024.childhood.Astrocyte/rs1875310_count_position.png",4,220,900)</f>
        <v/>
      </c>
      <c r="T3098">
        <f>IMAGE("https://mitra.stanford.edu/kundaje/oak/projects/neuro-variants/variant_position/credible/roussos_2024/variant_figures/roussos_2024.childhood.Astrocyte/rs1875310_profile_position.png",4,220,900)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-0.0438717242</v>
      </c>
      <c r="G3099" t="n">
        <v>0.2995561245655144</v>
      </c>
      <c r="H3099" t="n">
        <v>0.0116158974277872</v>
      </c>
      <c r="I3099" t="n">
        <v>0.5490931850935578</v>
      </c>
      <c r="J3099" t="n">
        <v>0.1876638196209536</v>
      </c>
      <c r="K3099" t="n">
        <v>0.2154586341907305</v>
      </c>
      <c r="L3099" t="b">
        <v>0</v>
      </c>
      <c r="M3099" t="b">
        <v>0</v>
      </c>
      <c r="N3099" t="inlineStr">
        <is>
          <t>ref</t>
        </is>
      </c>
      <c r="O3099" t="n">
        <v>-40</v>
      </c>
      <c r="P3099" t="n">
        <v>0.01171</v>
      </c>
      <c r="Q3099" t="n">
        <v>85</v>
      </c>
      <c r="R3099" t="n">
        <v>0.4868</v>
      </c>
      <c r="S3099">
        <f>IMAGE("https://mitra.stanford.edu/kundaje/oak/projects/neuro-variants/variant_position/credible/roussos_2024/variant_figures/roussos_2024.childhood.Astrocyte/rs72662364_count_position.png",4,220,900)</f>
        <v/>
      </c>
      <c r="T3099">
        <f>IMAGE("https://mitra.stanford.edu/kundaje/oak/projects/neuro-variants/variant_position/credible/roussos_2024/variant_figures/roussos_2024.childhood.Astrocyte/rs72662364_profile_position.png",4,220,900)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0.01863534886</v>
      </c>
      <c r="G3100" t="n">
        <v>0.5430634783172572</v>
      </c>
      <c r="H3100" t="n">
        <v>0.01286565940854</v>
      </c>
      <c r="I3100" t="n">
        <v>0.4386684942646975</v>
      </c>
      <c r="J3100" t="n">
        <v>0.0007732057124101</v>
      </c>
      <c r="K3100" t="n">
        <v>0.931171168159966</v>
      </c>
      <c r="L3100" t="b">
        <v>0</v>
      </c>
      <c r="M3100" t="b">
        <v>0</v>
      </c>
      <c r="N3100" t="inlineStr">
        <is>
          <t>alt</t>
        </is>
      </c>
      <c r="O3100" t="n">
        <v>10</v>
      </c>
      <c r="P3100" t="n">
        <v>0.0003839</v>
      </c>
      <c r="Q3100" t="n">
        <v>15</v>
      </c>
      <c r="R3100" t="n">
        <v>0.03064</v>
      </c>
      <c r="S3100">
        <f>IMAGE("https://mitra.stanford.edu/kundaje/oak/projects/neuro-variants/variant_position/credible/roussos_2024/variant_figures/roussos_2024.childhood.Astrocyte/rs17034785_count_position.png",4,220,900)</f>
        <v/>
      </c>
      <c r="T3100">
        <f>IMAGE("https://mitra.stanford.edu/kundaje/oak/projects/neuro-variants/variant_position/credible/roussos_2024/variant_figures/roussos_2024.childhood.Astrocyte/rs17034785_profile_position.png",4,220,900)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-0.0265561224</v>
      </c>
      <c r="G3101" t="n">
        <v>0.4379428199093388</v>
      </c>
      <c r="H3101" t="n">
        <v>0.0137625231831505</v>
      </c>
      <c r="I3101" t="n">
        <v>0.3754538599783488</v>
      </c>
      <c r="J3101" t="n">
        <v>0.0107569477838076</v>
      </c>
      <c r="K3101" t="n">
        <v>0.6831098148612359</v>
      </c>
      <c r="L3101" t="b">
        <v>0</v>
      </c>
      <c r="M3101" t="b">
        <v>0</v>
      </c>
      <c r="N3101" t="inlineStr">
        <is>
          <t>ref</t>
        </is>
      </c>
      <c r="O3101" t="n">
        <v>-45</v>
      </c>
      <c r="P3101" t="n">
        <v>0.02281</v>
      </c>
      <c r="Q3101" t="n">
        <v>100</v>
      </c>
      <c r="R3101" t="n">
        <v>0.1857</v>
      </c>
      <c r="S3101">
        <f>IMAGE("https://mitra.stanford.edu/kundaje/oak/projects/neuro-variants/variant_position/credible/roussos_2024/variant_figures/roussos_2024.childhood.Astrocyte/rs6856296_count_position.png",4,220,900)</f>
        <v/>
      </c>
      <c r="T3101">
        <f>IMAGE("https://mitra.stanford.edu/kundaje/oak/projects/neuro-variants/variant_position/credible/roussos_2024/variant_figures/roussos_2024.childhood.Astrocyte/rs6856296_profile_position.png",4,220,900)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-0.01428566026</v>
      </c>
      <c r="G3102" t="n">
        <v>0.6414145235230359</v>
      </c>
      <c r="H3102" t="n">
        <v>0.0269278273187059</v>
      </c>
      <c r="I3102" t="n">
        <v>0.0455871396388006</v>
      </c>
      <c r="J3102" t="n">
        <v>0.0019837726027187</v>
      </c>
      <c r="K3102" t="n">
        <v>0.8650751778356509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0.03864</v>
      </c>
      <c r="Q3102" t="n">
        <v>100</v>
      </c>
      <c r="R3102" t="n">
        <v>0.09186</v>
      </c>
      <c r="S3102">
        <f>IMAGE("https://mitra.stanford.edu/kundaje/oak/projects/neuro-variants/variant_position/credible/roussos_2024/variant_figures/roussos_2024.childhood.Astrocyte/rs6855141_count_position.png",4,220,900)</f>
        <v/>
      </c>
      <c r="T3102">
        <f>IMAGE("https://mitra.stanford.edu/kundaje/oak/projects/neuro-variants/variant_position/credible/roussos_2024/variant_figures/roussos_2024.childhood.Astrocyte/rs6855141_profile_position.png",4,220,900)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0.0237451111999999</v>
      </c>
      <c r="G3103" t="n">
        <v>0.4555717520603531</v>
      </c>
      <c r="H3103" t="n">
        <v>0.0318953089457307</v>
      </c>
      <c r="I3103" t="n">
        <v>0.0242232624360226</v>
      </c>
      <c r="J3103" t="n">
        <v>0.0028829200155709</v>
      </c>
      <c r="K3103" t="n">
        <v>0.8277894431529242</v>
      </c>
      <c r="L3103" t="b">
        <v>0</v>
      </c>
      <c r="M3103" t="b">
        <v>0</v>
      </c>
      <c r="N3103" t="inlineStr">
        <is>
          <t>alt</t>
        </is>
      </c>
      <c r="O3103" t="n">
        <v>-20</v>
      </c>
      <c r="P3103" t="n">
        <v>0.001343</v>
      </c>
      <c r="Q3103" t="n">
        <v>-35</v>
      </c>
      <c r="R3103" t="n">
        <v>0.03552</v>
      </c>
      <c r="S3103">
        <f>IMAGE("https://mitra.stanford.edu/kundaje/oak/projects/neuro-variants/variant_position/credible/roussos_2024/variant_figures/roussos_2024.childhood.Astrocyte/rs7655540_count_position.png",4,220,900)</f>
        <v/>
      </c>
      <c r="T3103">
        <f>IMAGE("https://mitra.stanford.edu/kundaje/oak/projects/neuro-variants/variant_position/credible/roussos_2024/variant_figures/roussos_2024.childhood.Astrocyte/rs7655540_profile_position.png",4,220,900)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0.01004228456</v>
      </c>
      <c r="G3104" t="n">
        <v>0.711641242550093</v>
      </c>
      <c r="H3104" t="n">
        <v>0.0077144408503857</v>
      </c>
      <c r="I3104" t="n">
        <v>0.9240025105529436</v>
      </c>
      <c r="J3104" t="n">
        <v>0.0010006640562386</v>
      </c>
      <c r="K3104" t="n">
        <v>0.9035814022699132</v>
      </c>
      <c r="L3104" t="b">
        <v>0</v>
      </c>
      <c r="M3104" t="b">
        <v>0</v>
      </c>
      <c r="N3104" t="inlineStr">
        <is>
          <t>alt</t>
        </is>
      </c>
      <c r="O3104" t="n">
        <v>-100</v>
      </c>
      <c r="P3104" t="n">
        <v>0.015564</v>
      </c>
      <c r="Q3104" t="n">
        <v>-45</v>
      </c>
      <c r="R3104" t="n">
        <v>0.0382</v>
      </c>
      <c r="S3104">
        <f>IMAGE("https://mitra.stanford.edu/kundaje/oak/projects/neuro-variants/variant_position/credible/roussos_2024/variant_figures/roussos_2024.childhood.Astrocyte/rs9990663_count_position.png",4,220,900)</f>
        <v/>
      </c>
      <c r="T3104">
        <f>IMAGE("https://mitra.stanford.edu/kundaje/oak/projects/neuro-variants/variant_position/credible/roussos_2024/variant_figures/roussos_2024.childhood.Astrocyte/rs9990663_profile_position.png",4,220,900)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-0.291860624</v>
      </c>
      <c r="G3105" t="n">
        <v>0.0061621483692851</v>
      </c>
      <c r="H3105" t="n">
        <v>0.0270688780288227</v>
      </c>
      <c r="I3105" t="n">
        <v>0.0439723855086102</v>
      </c>
      <c r="J3105" t="n">
        <v>0.0173830077931197</v>
      </c>
      <c r="K3105" t="n">
        <v>0.6232305918426831</v>
      </c>
      <c r="L3105" t="b">
        <v>1</v>
      </c>
      <c r="M3105" t="b">
        <v>1</v>
      </c>
      <c r="N3105" t="inlineStr">
        <is>
          <t>ref</t>
        </is>
      </c>
      <c r="O3105" t="n">
        <v>-60</v>
      </c>
      <c r="P3105" t="n">
        <v>0.004143</v>
      </c>
      <c r="Q3105" t="n">
        <v>40</v>
      </c>
      <c r="R3105" t="n">
        <v>0.04077</v>
      </c>
      <c r="S3105">
        <f>IMAGE("https://mitra.stanford.edu/kundaje/oak/projects/neuro-variants/variant_position/credible/roussos_2024/variant_figures/roussos_2024.childhood.Astrocyte/rs2012723_count_position.png",4,220,900)</f>
        <v/>
      </c>
      <c r="T3105">
        <f>IMAGE("https://mitra.stanford.edu/kundaje/oak/projects/neuro-variants/variant_position/credible/roussos_2024/variant_figures/roussos_2024.childhood.Astrocyte/rs2012723_profile_position.png",4,220,900)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0.0025583980479999</v>
      </c>
      <c r="G3106" t="n">
        <v>0.8363406117765108</v>
      </c>
      <c r="H3106" t="n">
        <v>0.008757377799194299</v>
      </c>
      <c r="I3106" t="n">
        <v>0.8363279130661279</v>
      </c>
      <c r="J3106" t="n">
        <v>0.0062627372856128</v>
      </c>
      <c r="K3106" t="n">
        <v>0.762334140611609</v>
      </c>
      <c r="L3106" t="b">
        <v>0</v>
      </c>
      <c r="M3106" t="b">
        <v>0</v>
      </c>
      <c r="N3106" t="inlineStr">
        <is>
          <t>alt</t>
        </is>
      </c>
      <c r="O3106" t="n">
        <v>-35</v>
      </c>
      <c r="P3106" t="n">
        <v>0.006096</v>
      </c>
      <c r="Q3106" t="n">
        <v>100</v>
      </c>
      <c r="R3106" t="n">
        <v>0.08935999999999999</v>
      </c>
      <c r="S3106">
        <f>IMAGE("https://mitra.stanford.edu/kundaje/oak/projects/neuro-variants/variant_position/credible/roussos_2024/variant_figures/roussos_2024.childhood.Astrocyte/rs4600992_count_position.png",4,220,900)</f>
        <v/>
      </c>
      <c r="T3106">
        <f>IMAGE("https://mitra.stanford.edu/kundaje/oak/projects/neuro-variants/variant_position/credible/roussos_2024/variant_figures/roussos_2024.childhood.Astrocyte/rs4600992_profile_position.png",4,220,900)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0.0654495214</v>
      </c>
      <c r="G3107" t="n">
        <v>0.1441268107491956</v>
      </c>
      <c r="H3107" t="n">
        <v>0.0171743813425291</v>
      </c>
      <c r="I3107" t="n">
        <v>0.2055148824083684</v>
      </c>
      <c r="J3107" t="n">
        <v>0.003085190019311</v>
      </c>
      <c r="K3107" t="n">
        <v>0.8431034750907942</v>
      </c>
      <c r="L3107" t="b">
        <v>0</v>
      </c>
      <c r="M3107" t="b">
        <v>0</v>
      </c>
      <c r="N3107" t="inlineStr">
        <is>
          <t>alt</t>
        </is>
      </c>
      <c r="O3107" t="n">
        <v>0</v>
      </c>
      <c r="P3107" t="n">
        <v>0</v>
      </c>
      <c r="Q3107" t="n">
        <v>70</v>
      </c>
      <c r="R3107" t="n">
        <v>0.1785</v>
      </c>
      <c r="S3107">
        <f>IMAGE("https://mitra.stanford.edu/kundaje/oak/projects/neuro-variants/variant_position/credible/roussos_2024/variant_figures/roussos_2024.childhood.Astrocyte/rs2169057_count_position.png",4,220,900)</f>
        <v/>
      </c>
      <c r="T3107">
        <f>IMAGE("https://mitra.stanford.edu/kundaje/oak/projects/neuro-variants/variant_position/credible/roussos_2024/variant_figures/roussos_2024.childhood.Astrocyte/rs2169057_profile_position.png",4,220,900)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0.04770062494</v>
      </c>
      <c r="G3108" t="n">
        <v>0.2144920315204301</v>
      </c>
      <c r="H3108" t="n">
        <v>0.0135869694550604</v>
      </c>
      <c r="I3108" t="n">
        <v>0.3842099260045547</v>
      </c>
      <c r="J3108" t="n">
        <v>0.1271553204643813</v>
      </c>
      <c r="K3108" t="n">
        <v>0.2823767289324939</v>
      </c>
      <c r="L3108" t="b">
        <v>0</v>
      </c>
      <c r="M3108" t="b">
        <v>0</v>
      </c>
      <c r="N3108" t="inlineStr">
        <is>
          <t>alt</t>
        </is>
      </c>
      <c r="O3108" t="n">
        <v>-25</v>
      </c>
      <c r="P3108" t="n">
        <v>0.005447</v>
      </c>
      <c r="Q3108" t="n">
        <v>-30</v>
      </c>
      <c r="R3108" t="n">
        <v>0.04395</v>
      </c>
      <c r="S3108">
        <f>IMAGE("https://mitra.stanford.edu/kundaje/oak/projects/neuro-variants/variant_position/credible/roussos_2024/variant_figures/roussos_2024.childhood.Astrocyte/rs1540575_count_position.png",4,220,900)</f>
        <v/>
      </c>
      <c r="T3108">
        <f>IMAGE("https://mitra.stanford.edu/kundaje/oak/projects/neuro-variants/variant_position/credible/roussos_2024/variant_figures/roussos_2024.childhood.Astrocyte/rs1540575_profile_position.png",4,220,900)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0.009258951228</v>
      </c>
      <c r="G3109" t="n">
        <v>0.7078057735959453</v>
      </c>
      <c r="H3109" t="n">
        <v>0.0201210505493288</v>
      </c>
      <c r="I3109" t="n">
        <v>0.122157902350622</v>
      </c>
      <c r="J3109" t="n">
        <v>0.0180982039950233</v>
      </c>
      <c r="K3109" t="n">
        <v>0.6070372117543993</v>
      </c>
      <c r="L3109" t="b">
        <v>0</v>
      </c>
      <c r="M3109" t="b">
        <v>0</v>
      </c>
      <c r="N3109" t="inlineStr">
        <is>
          <t>alt</t>
        </is>
      </c>
      <c r="O3109" t="n">
        <v>-65</v>
      </c>
      <c r="P3109" t="n">
        <v>0.0208</v>
      </c>
      <c r="Q3109" t="n">
        <v>75</v>
      </c>
      <c r="R3109" t="n">
        <v>0.198</v>
      </c>
      <c r="S3109">
        <f>IMAGE("https://mitra.stanford.edu/kundaje/oak/projects/neuro-variants/variant_position/credible/roussos_2024/variant_figures/roussos_2024.childhood.Astrocyte/rs6857739_count_position.png",4,220,900)</f>
        <v/>
      </c>
      <c r="T3109">
        <f>IMAGE("https://mitra.stanford.edu/kundaje/oak/projects/neuro-variants/variant_position/credible/roussos_2024/variant_figures/roussos_2024.childhood.Astrocyte/rs6857739_profile_position.png",4,220,900)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0.0561576441</v>
      </c>
      <c r="G3110" t="n">
        <v>0.2003849748476333</v>
      </c>
      <c r="H3110" t="n">
        <v>0.0276953874095743</v>
      </c>
      <c r="I3110" t="n">
        <v>0.040124119880638</v>
      </c>
      <c r="J3110" t="n">
        <v>0.0314228359017807</v>
      </c>
      <c r="K3110" t="n">
        <v>0.5228788341949913</v>
      </c>
      <c r="L3110" t="b">
        <v>0</v>
      </c>
      <c r="M3110" t="b">
        <v>0</v>
      </c>
      <c r="N3110" t="inlineStr">
        <is>
          <t>alt</t>
        </is>
      </c>
      <c r="O3110" t="n">
        <v>90</v>
      </c>
      <c r="P3110" t="n">
        <v>0.013</v>
      </c>
      <c r="Q3110" t="n">
        <v>-100</v>
      </c>
      <c r="R3110" t="n">
        <v>0.1475</v>
      </c>
      <c r="S3110">
        <f>IMAGE("https://mitra.stanford.edu/kundaje/oak/projects/neuro-variants/variant_position/credible/roussos_2024/variant_figures/roussos_2024.childhood.Astrocyte/rs1350618_count_position.png",4,220,900)</f>
        <v/>
      </c>
      <c r="T3110">
        <f>IMAGE("https://mitra.stanford.edu/kundaje/oak/projects/neuro-variants/variant_position/credible/roussos_2024/variant_figures/roussos_2024.childhood.Astrocyte/rs1350618_profile_position.png",4,220,900)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0.1218141072</v>
      </c>
      <c r="G3111" t="n">
        <v>0.0518280377070282</v>
      </c>
      <c r="H3111" t="n">
        <v>0.07628958107884069</v>
      </c>
      <c r="I3111" t="n">
        <v>0.0009828598667028</v>
      </c>
      <c r="J3111" t="n">
        <v>0.5140436445238258</v>
      </c>
      <c r="K3111" t="n">
        <v>0.0520201572230318</v>
      </c>
      <c r="L3111" t="b">
        <v>1</v>
      </c>
      <c r="M3111" t="b">
        <v>1</v>
      </c>
      <c r="N3111" t="inlineStr">
        <is>
          <t>alt</t>
        </is>
      </c>
      <c r="O3111" t="n">
        <v>-55</v>
      </c>
      <c r="P3111" t="n">
        <v>0.006775</v>
      </c>
      <c r="Q3111" t="n">
        <v>20</v>
      </c>
      <c r="R3111" t="n">
        <v>0.03955</v>
      </c>
      <c r="S3111">
        <f>IMAGE("https://mitra.stanford.edu/kundaje/oak/projects/neuro-variants/variant_position/credible/roussos_2024/variant_figures/roussos_2024.childhood.Astrocyte/rs1459538_count_position.png",4,220,900)</f>
        <v/>
      </c>
      <c r="T3111">
        <f>IMAGE("https://mitra.stanford.edu/kundaje/oak/projects/neuro-variants/variant_position/credible/roussos_2024/variant_figures/roussos_2024.childhood.Astrocyte/rs1459538_profile_position.png",4,220,900)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-0.04275152692</v>
      </c>
      <c r="G3112" t="n">
        <v>0.2334292450894766</v>
      </c>
      <c r="H3112" t="n">
        <v>0.0189528586575069</v>
      </c>
      <c r="I3112" t="n">
        <v>0.1505566873033498</v>
      </c>
      <c r="J3112" t="n">
        <v>0.6919702624930351</v>
      </c>
      <c r="K3112" t="n">
        <v>0.0189916350799754</v>
      </c>
      <c r="L3112" t="b">
        <v>0</v>
      </c>
      <c r="M3112" t="b">
        <v>0</v>
      </c>
      <c r="N3112" t="inlineStr">
        <is>
          <t>ref</t>
        </is>
      </c>
      <c r="O3112" t="n">
        <v>-25</v>
      </c>
      <c r="P3112" t="n">
        <v>0.001099</v>
      </c>
      <c r="Q3112" t="n">
        <v>35</v>
      </c>
      <c r="R3112" t="n">
        <v>0.1113</v>
      </c>
      <c r="S3112">
        <f>IMAGE("https://mitra.stanford.edu/kundaje/oak/projects/neuro-variants/variant_position/credible/roussos_2024/variant_figures/roussos_2024.childhood.Astrocyte/rs10011404_count_position.png",4,220,900)</f>
        <v/>
      </c>
      <c r="T3112">
        <f>IMAGE("https://mitra.stanford.edu/kundaje/oak/projects/neuro-variants/variant_position/credible/roussos_2024/variant_figures/roussos_2024.childhood.Astrocyte/rs10011404_profile_position.png",4,220,900)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0.166258768</v>
      </c>
      <c r="G3113" t="n">
        <v>0.0246098639277715</v>
      </c>
      <c r="H3113" t="n">
        <v>0.0223216421539317</v>
      </c>
      <c r="I3113" t="n">
        <v>0.0873770575016314</v>
      </c>
      <c r="J3113" t="n">
        <v>0.720832283819163</v>
      </c>
      <c r="K3113" t="n">
        <v>0.0155183231835747</v>
      </c>
      <c r="L3113" t="b">
        <v>0</v>
      </c>
      <c r="M3113" t="b">
        <v>0</v>
      </c>
      <c r="N3113" t="inlineStr">
        <is>
          <t>alt</t>
        </is>
      </c>
      <c r="O3113" t="n">
        <v>-100</v>
      </c>
      <c r="P3113" t="n">
        <v>0.02377</v>
      </c>
      <c r="Q3113" t="n">
        <v>-100</v>
      </c>
      <c r="R3113" t="n">
        <v>0.186</v>
      </c>
      <c r="S3113">
        <f>IMAGE("https://mitra.stanford.edu/kundaje/oak/projects/neuro-variants/variant_position/credible/roussos_2024/variant_figures/roussos_2024.childhood.Astrocyte/rs17867553_count_position.png",4,220,900)</f>
        <v/>
      </c>
      <c r="T3113">
        <f>IMAGE("https://mitra.stanford.edu/kundaje/oak/projects/neuro-variants/variant_position/credible/roussos_2024/variant_figures/roussos_2024.childhood.Astrocyte/rs17867553_profile_position.png",4,220,900)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-0.161718068</v>
      </c>
      <c r="G3114" t="n">
        <v>0.0282080900497189</v>
      </c>
      <c r="H3114" t="n">
        <v>0.0171553180646777</v>
      </c>
      <c r="I3114" t="n">
        <v>0.1999146726327618</v>
      </c>
      <c r="J3114" t="n">
        <v>0.5174517032660881</v>
      </c>
      <c r="K3114" t="n">
        <v>0.0506242247295084</v>
      </c>
      <c r="L3114" t="b">
        <v>0</v>
      </c>
      <c r="M3114" t="b">
        <v>0</v>
      </c>
      <c r="N3114" t="inlineStr">
        <is>
          <t>ref</t>
        </is>
      </c>
      <c r="O3114" t="n">
        <v>30</v>
      </c>
      <c r="P3114" t="n">
        <v>0.004547</v>
      </c>
      <c r="Q3114" t="n">
        <v>-45</v>
      </c>
      <c r="R3114" t="n">
        <v>0.07666000000000001</v>
      </c>
      <c r="S3114">
        <f>IMAGE("https://mitra.stanford.edu/kundaje/oak/projects/neuro-variants/variant_position/credible/roussos_2024/variant_figures/roussos_2024.childhood.Astrocyte/rs1459540_count_position.png",4,220,900)</f>
        <v/>
      </c>
      <c r="T3114">
        <f>IMAGE("https://mitra.stanford.edu/kundaje/oak/projects/neuro-variants/variant_position/credible/roussos_2024/variant_figures/roussos_2024.childhood.Astrocyte/rs1459540_profile_position.png",4,220,900)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0.009847858339999901</v>
      </c>
      <c r="G3115" t="n">
        <v>0.6716520616983187</v>
      </c>
      <c r="H3115" t="n">
        <v>0.0321981996164565</v>
      </c>
      <c r="I3115" t="n">
        <v>0.0231069585409565</v>
      </c>
      <c r="J3115" t="n">
        <v>0.0004396510269972</v>
      </c>
      <c r="K3115" t="n">
        <v>0.947163974423576</v>
      </c>
      <c r="L3115" t="b">
        <v>0</v>
      </c>
      <c r="M3115" t="b">
        <v>0</v>
      </c>
      <c r="N3115" t="inlineStr">
        <is>
          <t>alt</t>
        </is>
      </c>
      <c r="O3115" t="n">
        <v>90</v>
      </c>
      <c r="P3115" t="n">
        <v>0.014206</v>
      </c>
      <c r="Q3115" t="n">
        <v>-15</v>
      </c>
      <c r="R3115" t="n">
        <v>0.0579</v>
      </c>
      <c r="S3115">
        <f>IMAGE("https://mitra.stanford.edu/kundaje/oak/projects/neuro-variants/variant_position/credible/roussos_2024/variant_figures/roussos_2024.childhood.Astrocyte/rs17861256_count_position.png",4,220,900)</f>
        <v/>
      </c>
      <c r="T3115">
        <f>IMAGE("https://mitra.stanford.edu/kundaje/oak/projects/neuro-variants/variant_position/credible/roussos_2024/variant_figures/roussos_2024.childhood.Astrocyte/rs17861256_profile_position.png",4,220,900)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0.0026270269899999</v>
      </c>
      <c r="G3116" t="n">
        <v>0.7667868915589553</v>
      </c>
      <c r="H3116" t="n">
        <v>0.0221132600116779</v>
      </c>
      <c r="I3116" t="n">
        <v>0.0946866987298202</v>
      </c>
      <c r="J3116" t="n">
        <v>0.027910970667033</v>
      </c>
      <c r="K3116" t="n">
        <v>0.5375213814919393</v>
      </c>
      <c r="L3116" t="b">
        <v>0</v>
      </c>
      <c r="M3116" t="b">
        <v>0</v>
      </c>
      <c r="N3116" t="inlineStr">
        <is>
          <t>alt</t>
        </is>
      </c>
      <c r="O3116" t="n">
        <v>-100</v>
      </c>
      <c r="P3116" t="n">
        <v>0.004333</v>
      </c>
      <c r="Q3116" t="n">
        <v>-45</v>
      </c>
      <c r="R3116" t="n">
        <v>0.1154</v>
      </c>
      <c r="S3116">
        <f>IMAGE("https://mitra.stanford.edu/kundaje/oak/projects/neuro-variants/variant_position/credible/roussos_2024/variant_figures/roussos_2024.childhood.Astrocyte/rs1350616_count_position.png",4,220,900)</f>
        <v/>
      </c>
      <c r="T3116">
        <f>IMAGE("https://mitra.stanford.edu/kundaje/oak/projects/neuro-variants/variant_position/credible/roussos_2024/variant_figures/roussos_2024.childhood.Astrocyte/rs1350616_profile_position.png",4,220,900)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-0.00993533928</v>
      </c>
      <c r="G3117" t="n">
        <v>0.6878838631315076</v>
      </c>
      <c r="H3117" t="n">
        <v>0.025248357522776</v>
      </c>
      <c r="I3117" t="n">
        <v>0.0574754030215389</v>
      </c>
      <c r="J3117" t="n">
        <v>0.0039102989779639</v>
      </c>
      <c r="K3117" t="n">
        <v>0.7995805066311473</v>
      </c>
      <c r="L3117" t="b">
        <v>0</v>
      </c>
      <c r="M3117" t="b">
        <v>0</v>
      </c>
      <c r="N3117" t="inlineStr">
        <is>
          <t>ref</t>
        </is>
      </c>
      <c r="O3117" t="n">
        <v>60</v>
      </c>
      <c r="P3117" t="n">
        <v>0.004013</v>
      </c>
      <c r="Q3117" t="n">
        <v>-85</v>
      </c>
      <c r="R3117" t="n">
        <v>0.05908</v>
      </c>
      <c r="S3117">
        <f>IMAGE("https://mitra.stanford.edu/kundaje/oak/projects/neuro-variants/variant_position/credible/roussos_2024/variant_figures/roussos_2024.childhood.Astrocyte/rs4295331_count_position.png",4,220,900)</f>
        <v/>
      </c>
      <c r="T3117">
        <f>IMAGE("https://mitra.stanford.edu/kundaje/oak/projects/neuro-variants/variant_position/credible/roussos_2024/variant_figures/roussos_2024.childhood.Astrocyte/rs4295331_profile_position.png",4,220,900)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0.004956446034</v>
      </c>
      <c r="G3118" t="n">
        <v>0.7867396171437644</v>
      </c>
      <c r="H3118" t="n">
        <v>0.0308016014330114</v>
      </c>
      <c r="I3118" t="n">
        <v>0.0266602096570726</v>
      </c>
      <c r="J3118" t="n">
        <v>0.0044926839321288</v>
      </c>
      <c r="K3118" t="n">
        <v>0.792406562405523</v>
      </c>
      <c r="L3118" t="b">
        <v>0</v>
      </c>
      <c r="M3118" t="b">
        <v>0</v>
      </c>
      <c r="N3118" t="inlineStr">
        <is>
          <t>alt</t>
        </is>
      </c>
      <c r="O3118" t="n">
        <v>65</v>
      </c>
      <c r="P3118" t="n">
        <v>0.00598</v>
      </c>
      <c r="Q3118" t="n">
        <v>65</v>
      </c>
      <c r="R3118" t="n">
        <v>0.1155</v>
      </c>
      <c r="S3118">
        <f>IMAGE("https://mitra.stanford.edu/kundaje/oak/projects/neuro-variants/variant_position/credible/roussos_2024/variant_figures/roussos_2024.childhood.Astrocyte/rs1380370_count_position.png",4,220,900)</f>
        <v/>
      </c>
      <c r="T3118">
        <f>IMAGE("https://mitra.stanford.edu/kundaje/oak/projects/neuro-variants/variant_position/credible/roussos_2024/variant_figures/roussos_2024.childhood.Astrocyte/rs1380370_profile_position.png",4,220,900)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-0.0557572612</v>
      </c>
      <c r="G3119" t="n">
        <v>0.1877153431530857</v>
      </c>
      <c r="H3119" t="n">
        <v>0.015585632562581</v>
      </c>
      <c r="I3119" t="n">
        <v>0.2739998391144454</v>
      </c>
      <c r="J3119" t="n">
        <v>0.0152519215650354</v>
      </c>
      <c r="K3119" t="n">
        <v>0.63269066824202</v>
      </c>
      <c r="L3119" t="b">
        <v>0</v>
      </c>
      <c r="M3119" t="b">
        <v>0</v>
      </c>
      <c r="N3119" t="inlineStr">
        <is>
          <t>ref</t>
        </is>
      </c>
      <c r="O3119" t="n">
        <v>100</v>
      </c>
      <c r="P3119" t="n">
        <v>0.002892</v>
      </c>
      <c r="Q3119" t="n">
        <v>20</v>
      </c>
      <c r="R3119" t="n">
        <v>0.05188</v>
      </c>
      <c r="S3119">
        <f>IMAGE("https://mitra.stanford.edu/kundaje/oak/projects/neuro-variants/variant_position/credible/roussos_2024/variant_figures/roussos_2024.childhood.Astrocyte/rs4516794_count_position.png",4,220,900)</f>
        <v/>
      </c>
      <c r="T3119">
        <f>IMAGE("https://mitra.stanford.edu/kundaje/oak/projects/neuro-variants/variant_position/credible/roussos_2024/variant_figures/roussos_2024.childhood.Astrocyte/rs4516794_profile_position.png",4,220,900)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0.010983566</v>
      </c>
      <c r="G3120" t="n">
        <v>0.6989843030195533</v>
      </c>
      <c r="H3120" t="n">
        <v>0.0081183212929671</v>
      </c>
      <c r="I3120" t="n">
        <v>0.8949915151512576</v>
      </c>
      <c r="J3120" t="n">
        <v>0.0441490539106805</v>
      </c>
      <c r="K3120" t="n">
        <v>0.4685289757063757</v>
      </c>
      <c r="L3120" t="b">
        <v>0</v>
      </c>
      <c r="M3120" t="b">
        <v>0</v>
      </c>
      <c r="N3120" t="inlineStr">
        <is>
          <t>alt</t>
        </is>
      </c>
      <c r="O3120" t="n">
        <v>35</v>
      </c>
      <c r="P3120" t="n">
        <v>0.00641</v>
      </c>
      <c r="Q3120" t="n">
        <v>-40</v>
      </c>
      <c r="R3120" t="n">
        <v>0.11255</v>
      </c>
      <c r="S3120">
        <f>IMAGE("https://mitra.stanford.edu/kundaje/oak/projects/neuro-variants/variant_position/credible/roussos_2024/variant_figures/roussos_2024.childhood.Astrocyte/rs4568305_count_position.png",4,220,900)</f>
        <v/>
      </c>
      <c r="T3120">
        <f>IMAGE("https://mitra.stanford.edu/kundaje/oak/projects/neuro-variants/variant_position/credible/roussos_2024/variant_figures/roussos_2024.childhood.Astrocyte/rs4568305_profile_position.png",4,220,900)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0.0050403803048</v>
      </c>
      <c r="G3121" t="n">
        <v>0.8126867760740824</v>
      </c>
      <c r="H3121" t="n">
        <v>0.0301209216345605</v>
      </c>
      <c r="I3121" t="n">
        <v>0.0293766699921092</v>
      </c>
      <c r="J3121" t="n">
        <v>0.0022280231732728</v>
      </c>
      <c r="K3121" t="n">
        <v>0.8643749089061167</v>
      </c>
      <c r="L3121" t="b">
        <v>0</v>
      </c>
      <c r="M3121" t="b">
        <v>0</v>
      </c>
      <c r="N3121" t="inlineStr">
        <is>
          <t>alt</t>
        </is>
      </c>
      <c r="O3121" t="n">
        <v>45</v>
      </c>
      <c r="P3121" t="n">
        <v>0.004776</v>
      </c>
      <c r="Q3121" t="n">
        <v>85</v>
      </c>
      <c r="R3121" t="n">
        <v>0.05096</v>
      </c>
      <c r="S3121">
        <f>IMAGE("https://mitra.stanford.edu/kundaje/oak/projects/neuro-variants/variant_position/credible/roussos_2024/variant_figures/roussos_2024.childhood.Astrocyte/rs7661175_count_position.png",4,220,900)</f>
        <v/>
      </c>
      <c r="T3121">
        <f>IMAGE("https://mitra.stanford.edu/kundaje/oak/projects/neuro-variants/variant_position/credible/roussos_2024/variant_figures/roussos_2024.childhood.Astrocyte/rs7661175_profile_position.png",4,220,900)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-0.203107888</v>
      </c>
      <c r="G3122" t="n">
        <v>0.0164865461966474</v>
      </c>
      <c r="H3122" t="n">
        <v>0.0226327256015599</v>
      </c>
      <c r="I3122" t="n">
        <v>0.083481321267645</v>
      </c>
      <c r="J3122" t="n">
        <v>0.0814018456183737</v>
      </c>
      <c r="K3122" t="n">
        <v>0.3706900461457454</v>
      </c>
      <c r="L3122" t="b">
        <v>1</v>
      </c>
      <c r="M3122" t="b">
        <v>0</v>
      </c>
      <c r="N3122" t="inlineStr">
        <is>
          <t>ref</t>
        </is>
      </c>
      <c r="O3122" t="n">
        <v>-60</v>
      </c>
      <c r="P3122" t="n">
        <v>0.006508</v>
      </c>
      <c r="Q3122" t="n">
        <v>-35</v>
      </c>
      <c r="R3122" t="n">
        <v>0.05347</v>
      </c>
      <c r="S3122">
        <f>IMAGE("https://mitra.stanford.edu/kundaje/oak/projects/neuro-variants/variant_position/credible/roussos_2024/variant_figures/roussos_2024.childhood.Astrocyte/rs1350617_count_position.png",4,220,900)</f>
        <v/>
      </c>
      <c r="T3122">
        <f>IMAGE("https://mitra.stanford.edu/kundaje/oak/projects/neuro-variants/variant_position/credible/roussos_2024/variant_figures/roussos_2024.childhood.Astrocyte/rs1350617_profile_position.png",4,220,900)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-0.08882185976</v>
      </c>
      <c r="G3123" t="n">
        <v>0.1098243691516029</v>
      </c>
      <c r="H3123" t="n">
        <v>0.0357390115353454</v>
      </c>
      <c r="I3123" t="n">
        <v>0.0153919510829258</v>
      </c>
      <c r="J3123" t="n">
        <v>0.1363124270110599</v>
      </c>
      <c r="K3123" t="n">
        <v>0.2704324875821701</v>
      </c>
      <c r="L3123" t="b">
        <v>1</v>
      </c>
      <c r="M3123" t="b">
        <v>0</v>
      </c>
      <c r="N3123" t="inlineStr">
        <is>
          <t>ref</t>
        </is>
      </c>
      <c r="O3123" t="n">
        <v>75</v>
      </c>
      <c r="P3123" t="n">
        <v>0.01752</v>
      </c>
      <c r="Q3123" t="n">
        <v>75</v>
      </c>
      <c r="R3123" t="n">
        <v>0.2432</v>
      </c>
      <c r="S3123">
        <f>IMAGE("https://mitra.stanford.edu/kundaje/oak/projects/neuro-variants/variant_position/credible/roussos_2024/variant_figures/roussos_2024.childhood.Astrocyte/rs17863939_count_position.png",4,220,900)</f>
        <v/>
      </c>
      <c r="T3123">
        <f>IMAGE("https://mitra.stanford.edu/kundaje/oak/projects/neuro-variants/variant_position/credible/roussos_2024/variant_figures/roussos_2024.childhood.Astrocyte/rs17863939_profile_position.png",4,220,900)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0.0157008363999999</v>
      </c>
      <c r="G3124" t="n">
        <v>0.3391068692292077</v>
      </c>
      <c r="H3124" t="n">
        <v>0.013331198910751</v>
      </c>
      <c r="I3124" t="n">
        <v>0.4090753165189195</v>
      </c>
      <c r="J3124" t="n">
        <v>0.120085029729874</v>
      </c>
      <c r="K3124" t="n">
        <v>0.2919000944895593</v>
      </c>
      <c r="L3124" t="b">
        <v>0</v>
      </c>
      <c r="M3124" t="b">
        <v>0</v>
      </c>
      <c r="N3124" t="inlineStr">
        <is>
          <t>alt</t>
        </is>
      </c>
      <c r="O3124" t="n">
        <v>20</v>
      </c>
      <c r="P3124" t="n">
        <v>0.002045</v>
      </c>
      <c r="Q3124" t="n">
        <v>-100</v>
      </c>
      <c r="R3124" t="n">
        <v>0.0742</v>
      </c>
      <c r="S3124">
        <f>IMAGE("https://mitra.stanford.edu/kundaje/oak/projects/neuro-variants/variant_position/credible/roussos_2024/variant_figures/roussos_2024.childhood.Astrocyte/rs9995094_count_position.png",4,220,900)</f>
        <v/>
      </c>
      <c r="T3124">
        <f>IMAGE("https://mitra.stanford.edu/kundaje/oak/projects/neuro-variants/variant_position/credible/roussos_2024/variant_figures/roussos_2024.childhood.Astrocyte/rs9995094_profile_position.png",4,220,900)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0.0073731774199999</v>
      </c>
      <c r="G3125" t="n">
        <v>0.6815214348103732</v>
      </c>
      <c r="H3125" t="n">
        <v>0.0110729390205769</v>
      </c>
      <c r="I3125" t="n">
        <v>0.6001021808401484</v>
      </c>
      <c r="J3125" t="n">
        <v>0.0033500492317555</v>
      </c>
      <c r="K3125" t="n">
        <v>0.8206524820599358</v>
      </c>
      <c r="L3125" t="b">
        <v>0</v>
      </c>
      <c r="M3125" t="b">
        <v>0</v>
      </c>
      <c r="N3125" t="inlineStr">
        <is>
          <t>alt</t>
        </is>
      </c>
      <c r="O3125" t="n">
        <v>-35</v>
      </c>
      <c r="P3125" t="n">
        <v>0.00454</v>
      </c>
      <c r="Q3125" t="n">
        <v>95</v>
      </c>
      <c r="R3125" t="n">
        <v>0.148</v>
      </c>
      <c r="S3125">
        <f>IMAGE("https://mitra.stanford.edu/kundaje/oak/projects/neuro-variants/variant_position/credible/roussos_2024/variant_figures/roussos_2024.childhood.Astrocyte/rs17865121_count_position.png",4,220,900)</f>
        <v/>
      </c>
      <c r="T3125">
        <f>IMAGE("https://mitra.stanford.edu/kundaje/oak/projects/neuro-variants/variant_position/credible/roussos_2024/variant_figures/roussos_2024.childhood.Astrocyte/rs17865121_profile_position.png",4,220,900)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0.0588858498</v>
      </c>
      <c r="G3126" t="n">
        <v>0.1862414813769316</v>
      </c>
      <c r="H3126" t="n">
        <v>0.0129429775744793</v>
      </c>
      <c r="I3126" t="n">
        <v>0.4334103674359498</v>
      </c>
      <c r="J3126" t="n">
        <v>0.0187790524604428</v>
      </c>
      <c r="K3126" t="n">
        <v>0.6029310721778927</v>
      </c>
      <c r="L3126" t="b">
        <v>0</v>
      </c>
      <c r="M3126" t="b">
        <v>0</v>
      </c>
      <c r="N3126" t="inlineStr">
        <is>
          <t>alt</t>
        </is>
      </c>
      <c r="O3126" t="n">
        <v>100</v>
      </c>
      <c r="P3126" t="n">
        <v>0.01074</v>
      </c>
      <c r="Q3126" t="n">
        <v>45</v>
      </c>
      <c r="R3126" t="n">
        <v>0.08344</v>
      </c>
      <c r="S3126">
        <f>IMAGE("https://mitra.stanford.edu/kundaje/oak/projects/neuro-variants/variant_position/credible/roussos_2024/variant_figures/roussos_2024.childhood.Astrocyte/rs6824201_count_position.png",4,220,900)</f>
        <v/>
      </c>
      <c r="T3126">
        <f>IMAGE("https://mitra.stanford.edu/kundaje/oak/projects/neuro-variants/variant_position/credible/roussos_2024/variant_figures/roussos_2024.childhood.Astrocyte/rs6824201_profile_position.png",4,220,900)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-0.017362757</v>
      </c>
      <c r="G3127" t="n">
        <v>0.3501827683041077</v>
      </c>
      <c r="H3127" t="n">
        <v>0.0192864483393687</v>
      </c>
      <c r="I3127" t="n">
        <v>0.1518676371398962</v>
      </c>
      <c r="J3127" t="n">
        <v>0.0329089479669956</v>
      </c>
      <c r="K3127" t="n">
        <v>0.5319825492309778</v>
      </c>
      <c r="L3127" t="b">
        <v>0</v>
      </c>
      <c r="M3127" t="b">
        <v>0</v>
      </c>
      <c r="N3127" t="inlineStr">
        <is>
          <t>ref</t>
        </is>
      </c>
      <c r="O3127" t="n">
        <v>-90</v>
      </c>
      <c r="P3127" t="n">
        <v>0.03134</v>
      </c>
      <c r="Q3127" t="n">
        <v>-75</v>
      </c>
      <c r="R3127" t="n">
        <v>0.01366</v>
      </c>
      <c r="S3127">
        <f>IMAGE("https://mitra.stanford.edu/kundaje/oak/projects/neuro-variants/variant_position/credible/roussos_2024/variant_figures/roussos_2024.childhood.Astrocyte/rs1459530_count_position.png",4,220,900)</f>
        <v/>
      </c>
      <c r="T3127">
        <f>IMAGE("https://mitra.stanford.edu/kundaje/oak/projects/neuro-variants/variant_position/credible/roussos_2024/variant_figures/roussos_2024.childhood.Astrocyte/rs1459530_profile_position.png",4,220,900)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0.10241313</v>
      </c>
      <c r="G3128" t="n">
        <v>0.0751243715797707</v>
      </c>
      <c r="H3128" t="n">
        <v>0.0225466115550922</v>
      </c>
      <c r="I3128" t="n">
        <v>0.0865183819592031</v>
      </c>
      <c r="J3128" t="n">
        <v>0.0775236045277949</v>
      </c>
      <c r="K3128" t="n">
        <v>0.3869053860811701</v>
      </c>
      <c r="L3128" t="b">
        <v>0</v>
      </c>
      <c r="M3128" t="b">
        <v>0</v>
      </c>
      <c r="N3128" t="inlineStr">
        <is>
          <t>alt</t>
        </is>
      </c>
      <c r="O3128" t="n">
        <v>-40</v>
      </c>
      <c r="P3128" t="n">
        <v>0.001617</v>
      </c>
      <c r="Q3128" t="n">
        <v>-95</v>
      </c>
      <c r="R3128" t="n">
        <v>0.1124</v>
      </c>
      <c r="S3128">
        <f>IMAGE("https://mitra.stanford.edu/kundaje/oak/projects/neuro-variants/variant_position/credible/roussos_2024/variant_figures/roussos_2024.childhood.Astrocyte/rs4834639_count_position.png",4,220,900)</f>
        <v/>
      </c>
      <c r="T3128">
        <f>IMAGE("https://mitra.stanford.edu/kundaje/oak/projects/neuro-variants/variant_position/credible/roussos_2024/variant_figures/roussos_2024.childhood.Astrocyte/rs4834639_profile_position.png",4,220,900)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0.00382899203</v>
      </c>
      <c r="G3129" t="n">
        <v>0.7441328579906364</v>
      </c>
      <c r="H3129" t="n">
        <v>0.0352247213200251</v>
      </c>
      <c r="I3129" t="n">
        <v>0.0164574523838263</v>
      </c>
      <c r="J3129" t="n">
        <v>0.0009136497904787</v>
      </c>
      <c r="K3129" t="n">
        <v>0.9123052890443974</v>
      </c>
      <c r="L3129" t="b">
        <v>0</v>
      </c>
      <c r="M3129" t="b">
        <v>0</v>
      </c>
      <c r="N3129" t="inlineStr">
        <is>
          <t>alt</t>
        </is>
      </c>
      <c r="O3129" t="n">
        <v>100</v>
      </c>
      <c r="P3129" t="n">
        <v>0.01074</v>
      </c>
      <c r="Q3129" t="n">
        <v>90</v>
      </c>
      <c r="R3129" t="n">
        <v>0.08840000000000001</v>
      </c>
      <c r="S3129">
        <f>IMAGE("https://mitra.stanford.edu/kundaje/oak/projects/neuro-variants/variant_position/credible/roussos_2024/variant_figures/roussos_2024.childhood.Astrocyte/rs4377658_count_position.png",4,220,900)</f>
        <v/>
      </c>
      <c r="T3129">
        <f>IMAGE("https://mitra.stanford.edu/kundaje/oak/projects/neuro-variants/variant_position/credible/roussos_2024/variant_figures/roussos_2024.childhood.Astrocyte/rs4377658_profile_position.png",4,220,900)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0.028080922</v>
      </c>
      <c r="G3130" t="n">
        <v>0.3930600830512328</v>
      </c>
      <c r="H3130" t="n">
        <v>0.0169182389951291</v>
      </c>
      <c r="I3130" t="n">
        <v>0.2167534561913087</v>
      </c>
      <c r="J3130" t="n">
        <v>0.0074427728546021</v>
      </c>
      <c r="K3130" t="n">
        <v>0.7289131218368631</v>
      </c>
      <c r="L3130" t="b">
        <v>0</v>
      </c>
      <c r="M3130" t="b">
        <v>0</v>
      </c>
      <c r="N3130" t="inlineStr">
        <is>
          <t>alt</t>
        </is>
      </c>
      <c r="O3130" t="n">
        <v>100</v>
      </c>
      <c r="P3130" t="n">
        <v>0.004105</v>
      </c>
      <c r="Q3130" t="n">
        <v>-5</v>
      </c>
      <c r="R3130" t="n">
        <v>0.02328</v>
      </c>
      <c r="S3130">
        <f>IMAGE("https://mitra.stanford.edu/kundaje/oak/projects/neuro-variants/variant_position/credible/roussos_2024/variant_figures/roussos_2024.childhood.Astrocyte/rs7680858_count_position.png",4,220,900)</f>
        <v/>
      </c>
      <c r="T3130">
        <f>IMAGE("https://mitra.stanford.edu/kundaje/oak/projects/neuro-variants/variant_position/credible/roussos_2024/variant_figures/roussos_2024.childhood.Astrocyte/rs7680858_profile_position.png",4,220,900)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0.0677262788</v>
      </c>
      <c r="G3131" t="n">
        <v>0.1375629251508461</v>
      </c>
      <c r="H3131" t="n">
        <v>0.0115300607531879</v>
      </c>
      <c r="I3131" t="n">
        <v>0.5592183903964146</v>
      </c>
      <c r="J3131" t="n">
        <v>0.0496576675597077</v>
      </c>
      <c r="K3131" t="n">
        <v>0.4497270955513938</v>
      </c>
      <c r="L3131" t="b">
        <v>0</v>
      </c>
      <c r="M3131" t="b">
        <v>0</v>
      </c>
      <c r="N3131" t="inlineStr">
        <is>
          <t>alt</t>
        </is>
      </c>
      <c r="O3131" t="n">
        <v>-55</v>
      </c>
      <c r="P3131" t="n">
        <v>0.00566</v>
      </c>
      <c r="Q3131" t="n">
        <v>20</v>
      </c>
      <c r="R3131" t="n">
        <v>0.073</v>
      </c>
      <c r="S3131">
        <f>IMAGE("https://mitra.stanford.edu/kundaje/oak/projects/neuro-variants/variant_position/credible/roussos_2024/variant_figures/roussos_2024.childhood.Astrocyte/rs67213843_count_position.png",4,220,900)</f>
        <v/>
      </c>
      <c r="T3131">
        <f>IMAGE("https://mitra.stanford.edu/kundaje/oak/projects/neuro-variants/variant_position/credible/roussos_2024/variant_figures/roussos_2024.childhood.Astrocyte/rs67213843_profile_position.png",4,220,900)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-0.0232284258</v>
      </c>
      <c r="G3132" t="n">
        <v>0.4713677511709861</v>
      </c>
      <c r="H3132" t="n">
        <v>0.0116703447019464</v>
      </c>
      <c r="I3132" t="n">
        <v>0.5385236566050071</v>
      </c>
      <c r="J3132" t="n">
        <v>0.0057772892766366</v>
      </c>
      <c r="K3132" t="n">
        <v>0.7563148884817287</v>
      </c>
      <c r="L3132" t="b">
        <v>0</v>
      </c>
      <c r="M3132" t="b">
        <v>0</v>
      </c>
      <c r="N3132" t="inlineStr">
        <is>
          <t>ref</t>
        </is>
      </c>
      <c r="O3132" t="n">
        <v>100</v>
      </c>
      <c r="P3132" t="n">
        <v>0.04385</v>
      </c>
      <c r="Q3132" t="n">
        <v>95</v>
      </c>
      <c r="R3132" t="n">
        <v>0.12024</v>
      </c>
      <c r="S3132">
        <f>IMAGE("https://mitra.stanford.edu/kundaje/oak/projects/neuro-variants/variant_position/credible/roussos_2024/variant_figures/roussos_2024.childhood.Astrocyte/rs55923363_count_position.png",4,220,900)</f>
        <v/>
      </c>
      <c r="T3132">
        <f>IMAGE("https://mitra.stanford.edu/kundaje/oak/projects/neuro-variants/variant_position/credible/roussos_2024/variant_figures/roussos_2024.childhood.Astrocyte/rs55923363_profile_position.png",4,220,900)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0.02598387</v>
      </c>
      <c r="G3133" t="n">
        <v>0.4293937627414252</v>
      </c>
      <c r="H3133" t="n">
        <v>0.0308356958217938</v>
      </c>
      <c r="I3133" t="n">
        <v>0.0268954735022282</v>
      </c>
      <c r="J3133" t="n">
        <v>0.0111721737537495</v>
      </c>
      <c r="K3133" t="n">
        <v>0.6766090599572447</v>
      </c>
      <c r="L3133" t="b">
        <v>0</v>
      </c>
      <c r="M3133" t="b">
        <v>0</v>
      </c>
      <c r="N3133" t="inlineStr">
        <is>
          <t>alt</t>
        </is>
      </c>
      <c r="O3133" t="n">
        <v>15</v>
      </c>
      <c r="P3133" t="n">
        <v>0.002808</v>
      </c>
      <c r="Q3133" t="n">
        <v>60</v>
      </c>
      <c r="R3133" t="n">
        <v>0.08704000000000001</v>
      </c>
      <c r="S3133">
        <f>IMAGE("https://mitra.stanford.edu/kundaje/oak/projects/neuro-variants/variant_position/credible/roussos_2024/variant_figures/roussos_2024.childhood.Astrocyte/rs28521069_count_position.png",4,220,900)</f>
        <v/>
      </c>
      <c r="T3133">
        <f>IMAGE("https://mitra.stanford.edu/kundaje/oak/projects/neuro-variants/variant_position/credible/roussos_2024/variant_figures/roussos_2024.childhood.Astrocyte/rs28521069_profile_position.png",4,220,900)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-0.00648258512</v>
      </c>
      <c r="G3134" t="n">
        <v>0.7686355399574796</v>
      </c>
      <c r="H3134" t="n">
        <v>0.028415317390813</v>
      </c>
      <c r="I3134" t="n">
        <v>0.0367228819227168</v>
      </c>
      <c r="J3134" t="n">
        <v>0.0005159793302954</v>
      </c>
      <c r="K3134" t="n">
        <v>0.9513601238402952</v>
      </c>
      <c r="L3134" t="b">
        <v>0</v>
      </c>
      <c r="M3134" t="b">
        <v>0</v>
      </c>
      <c r="N3134" t="inlineStr">
        <is>
          <t>ref</t>
        </is>
      </c>
      <c r="O3134" t="n">
        <v>65</v>
      </c>
      <c r="P3134" t="n">
        <v>0.01024</v>
      </c>
      <c r="Q3134" t="n">
        <v>100</v>
      </c>
      <c r="R3134" t="n">
        <v>0.02808</v>
      </c>
      <c r="S3134">
        <f>IMAGE("https://mitra.stanford.edu/kundaje/oak/projects/neuro-variants/variant_position/credible/roussos_2024/variant_figures/roussos_2024.childhood.Astrocyte/rs7666685_count_position.png",4,220,900)</f>
        <v/>
      </c>
      <c r="T3134">
        <f>IMAGE("https://mitra.stanford.edu/kundaje/oak/projects/neuro-variants/variant_position/credible/roussos_2024/variant_figures/roussos_2024.childhood.Astrocyte/rs7666685_profile_position.png",4,220,900)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0.0419219202</v>
      </c>
      <c r="G3135" t="n">
        <v>0.265983822322986</v>
      </c>
      <c r="H3135" t="n">
        <v>0.0132102316883552</v>
      </c>
      <c r="I3135" t="n">
        <v>0.4137154628814647</v>
      </c>
      <c r="J3135" t="n">
        <v>0.0003152358926213</v>
      </c>
      <c r="K3135" t="n">
        <v>0.9721992096591586</v>
      </c>
      <c r="L3135" t="b">
        <v>0</v>
      </c>
      <c r="M3135" t="b">
        <v>0</v>
      </c>
      <c r="N3135" t="inlineStr">
        <is>
          <t>alt</t>
        </is>
      </c>
      <c r="O3135" t="n">
        <v>20</v>
      </c>
      <c r="P3135" t="n">
        <v>0.001755</v>
      </c>
      <c r="Q3135" t="n">
        <v>-70</v>
      </c>
      <c r="R3135" t="n">
        <v>0.04105</v>
      </c>
      <c r="S3135">
        <f>IMAGE("https://mitra.stanford.edu/kundaje/oak/projects/neuro-variants/variant_position/credible/roussos_2024/variant_figures/roussos_2024.childhood.Astrocyte/rs6821845_count_position.png",4,220,900)</f>
        <v/>
      </c>
      <c r="T3135">
        <f>IMAGE("https://mitra.stanford.edu/kundaje/oak/projects/neuro-variants/variant_position/credible/roussos_2024/variant_figures/roussos_2024.childhood.Astrocyte/rs6821845_profile_position.png",4,220,900)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0.0823889828</v>
      </c>
      <c r="G3136" t="n">
        <v>0.097109256827343</v>
      </c>
      <c r="H3136" t="n">
        <v>0.0170350521982825</v>
      </c>
      <c r="I3136" t="n">
        <v>0.2102652186864662</v>
      </c>
      <c r="J3136" t="n">
        <v>0.008054162564020299</v>
      </c>
      <c r="K3136" t="n">
        <v>0.7217337195638627</v>
      </c>
      <c r="L3136" t="b">
        <v>0</v>
      </c>
      <c r="M3136" t="b">
        <v>0</v>
      </c>
      <c r="N3136" t="inlineStr">
        <is>
          <t>alt</t>
        </is>
      </c>
      <c r="O3136" t="n">
        <v>85</v>
      </c>
      <c r="P3136" t="n">
        <v>0.04135</v>
      </c>
      <c r="Q3136" t="n">
        <v>-95</v>
      </c>
      <c r="R3136" t="n">
        <v>0.1401</v>
      </c>
      <c r="S3136">
        <f>IMAGE("https://mitra.stanford.edu/kundaje/oak/projects/neuro-variants/variant_position/credible/roussos_2024/variant_figures/roussos_2024.childhood.Astrocyte/rs145065097_count_position.png",4,220,900)</f>
        <v/>
      </c>
      <c r="T3136">
        <f>IMAGE("https://mitra.stanford.edu/kundaje/oak/projects/neuro-variants/variant_position/credible/roussos_2024/variant_figures/roussos_2024.childhood.Astrocyte/rs145065097_profile_position.png",4,220,900)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0.0138163559</v>
      </c>
      <c r="G3137" t="n">
        <v>0.6374685306779877</v>
      </c>
      <c r="H3137" t="n">
        <v>0.0089922297089579</v>
      </c>
      <c r="I3137" t="n">
        <v>0.8114492084121433</v>
      </c>
      <c r="J3137" t="n">
        <v>0.0107279430285543</v>
      </c>
      <c r="K3137" t="n">
        <v>0.677138291370322</v>
      </c>
      <c r="L3137" t="b">
        <v>0</v>
      </c>
      <c r="M3137" t="b">
        <v>0</v>
      </c>
      <c r="N3137" t="inlineStr">
        <is>
          <t>alt</t>
        </is>
      </c>
      <c r="O3137" t="n">
        <v>-45</v>
      </c>
      <c r="P3137" t="n">
        <v>0.001831</v>
      </c>
      <c r="Q3137" t="n">
        <v>-100</v>
      </c>
      <c r="R3137" t="n">
        <v>0.1516</v>
      </c>
      <c r="S3137">
        <f>IMAGE("https://mitra.stanford.edu/kundaje/oak/projects/neuro-variants/variant_position/credible/roussos_2024/variant_figures/roussos_2024.childhood.Astrocyte/rs12641736_count_position.png",4,220,900)</f>
        <v/>
      </c>
      <c r="T3137">
        <f>IMAGE("https://mitra.stanford.edu/kundaje/oak/projects/neuro-variants/variant_position/credible/roussos_2024/variant_figures/roussos_2024.childhood.Astrocyte/rs12641736_profile_position.png",4,220,900)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0.02068904638</v>
      </c>
      <c r="G3138" t="n">
        <v>0.5151742033254265</v>
      </c>
      <c r="H3138" t="n">
        <v>0.0262539578223555</v>
      </c>
      <c r="I3138" t="n">
        <v>0.0492222015169775</v>
      </c>
      <c r="J3138" t="n">
        <v>0.0249326402723393</v>
      </c>
      <c r="K3138" t="n">
        <v>0.5647326735244389</v>
      </c>
      <c r="L3138" t="b">
        <v>0</v>
      </c>
      <c r="M3138" t="b">
        <v>0</v>
      </c>
      <c r="N3138" t="inlineStr">
        <is>
          <t>alt</t>
        </is>
      </c>
      <c r="O3138" t="n">
        <v>-30</v>
      </c>
      <c r="P3138" t="n">
        <v>0.004456</v>
      </c>
      <c r="Q3138" t="n">
        <v>-5</v>
      </c>
      <c r="R3138" t="n">
        <v>0.013916</v>
      </c>
      <c r="S3138">
        <f>IMAGE("https://mitra.stanford.edu/kundaje/oak/projects/neuro-variants/variant_position/credible/roussos_2024/variant_figures/roussos_2024.childhood.Astrocyte/rs4834649_count_position.png",4,220,900)</f>
        <v/>
      </c>
      <c r="T3138">
        <f>IMAGE("https://mitra.stanford.edu/kundaje/oak/projects/neuro-variants/variant_position/credible/roussos_2024/variant_figures/roussos_2024.childhood.Astrocyte/rs4834649_profile_position.png",4,220,900)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0.0472568357999999</v>
      </c>
      <c r="G3139" t="n">
        <v>0.229291280119537</v>
      </c>
      <c r="H3139" t="n">
        <v>0.0458102865289858</v>
      </c>
      <c r="I3139" t="n">
        <v>0.0057788822697735</v>
      </c>
      <c r="J3139" t="n">
        <v>0.0205643714745864</v>
      </c>
      <c r="K3139" t="n">
        <v>0.6119327523261404</v>
      </c>
      <c r="L3139" t="b">
        <v>1</v>
      </c>
      <c r="M3139" t="b">
        <v>0</v>
      </c>
      <c r="N3139" t="inlineStr">
        <is>
          <t>alt</t>
        </is>
      </c>
      <c r="O3139" t="n">
        <v>100</v>
      </c>
      <c r="P3139" t="n">
        <v>0.01643</v>
      </c>
      <c r="Q3139" t="n">
        <v>100</v>
      </c>
      <c r="R3139" t="n">
        <v>0.1316</v>
      </c>
      <c r="S3139">
        <f>IMAGE("https://mitra.stanford.edu/kundaje/oak/projects/neuro-variants/variant_position/credible/roussos_2024/variant_figures/roussos_2024.childhood.Astrocyte/rs2389473_count_position.png",4,220,900)</f>
        <v/>
      </c>
      <c r="T3139">
        <f>IMAGE("https://mitra.stanford.edu/kundaje/oak/projects/neuro-variants/variant_position/credible/roussos_2024/variant_figures/roussos_2024.childhood.Astrocyte/rs2389473_profile_position.png",4,220,900)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0.07680775279999991</v>
      </c>
      <c r="G3140" t="n">
        <v>0.1081166013796486</v>
      </c>
      <c r="H3140" t="n">
        <v>0.0132789642851261</v>
      </c>
      <c r="I3140" t="n">
        <v>0.4100639860311432</v>
      </c>
      <c r="J3140" t="n">
        <v>0.0008541137139062</v>
      </c>
      <c r="K3140" t="n">
        <v>0.9211213887320996</v>
      </c>
      <c r="L3140" t="b">
        <v>0</v>
      </c>
      <c r="M3140" t="b">
        <v>0</v>
      </c>
      <c r="N3140" t="inlineStr">
        <is>
          <t>alt</t>
        </is>
      </c>
      <c r="O3140" t="n">
        <v>-95</v>
      </c>
      <c r="P3140" t="n">
        <v>0.03204</v>
      </c>
      <c r="Q3140" t="n">
        <v>-35</v>
      </c>
      <c r="R3140" t="n">
        <v>0.03223</v>
      </c>
      <c r="S3140">
        <f>IMAGE("https://mitra.stanford.edu/kundaje/oak/projects/neuro-variants/variant_position/credible/roussos_2024/variant_figures/roussos_2024.childhood.Astrocyte/rs13111689_count_position.png",4,220,900)</f>
        <v/>
      </c>
      <c r="T3140">
        <f>IMAGE("https://mitra.stanford.edu/kundaje/oak/projects/neuro-variants/variant_position/credible/roussos_2024/variant_figures/roussos_2024.childhood.Astrocyte/rs13111689_profile_position.png",4,220,900)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-0.0065234411</v>
      </c>
      <c r="G3141" t="n">
        <v>0.8263510867183262</v>
      </c>
      <c r="H3141" t="n">
        <v>0.06738381119961211</v>
      </c>
      <c r="I3141" t="n">
        <v>0.0013649024568226</v>
      </c>
      <c r="J3141" t="n">
        <v>0.0057299657285917</v>
      </c>
      <c r="K3141" t="n">
        <v>0.7657355757398415</v>
      </c>
      <c r="L3141" t="b">
        <v>0</v>
      </c>
      <c r="M3141" t="b">
        <v>0</v>
      </c>
      <c r="N3141" t="inlineStr">
        <is>
          <t>ref</t>
        </is>
      </c>
      <c r="O3141" t="n">
        <v>10</v>
      </c>
      <c r="P3141" t="n">
        <v>0.0002441</v>
      </c>
      <c r="Q3141" t="n">
        <v>-30</v>
      </c>
      <c r="R3141" t="n">
        <v>0.02136</v>
      </c>
      <c r="S3141">
        <f>IMAGE("https://mitra.stanford.edu/kundaje/oak/projects/neuro-variants/variant_position/credible/roussos_2024/variant_figures/roussos_2024.childhood.Astrocyte/rs10005201_count_position.png",4,220,900)</f>
        <v/>
      </c>
      <c r="T3141">
        <f>IMAGE("https://mitra.stanford.edu/kundaje/oak/projects/neuro-variants/variant_position/credible/roussos_2024/variant_figures/roussos_2024.childhood.Astrocyte/rs10005201_profile_position.png",4,220,900)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-0.01196478972</v>
      </c>
      <c r="G3142" t="n">
        <v>0.68977483123539</v>
      </c>
      <c r="H3142" t="n">
        <v>0.021989755492818</v>
      </c>
      <c r="I3142" t="n">
        <v>0.0935995277444286</v>
      </c>
      <c r="J3142" t="n">
        <v>0.0059207864868371</v>
      </c>
      <c r="K3142" t="n">
        <v>0.7509792407786396</v>
      </c>
      <c r="L3142" t="b">
        <v>0</v>
      </c>
      <c r="M3142" t="b">
        <v>0</v>
      </c>
      <c r="N3142" t="inlineStr">
        <is>
          <t>ref</t>
        </is>
      </c>
      <c r="O3142" t="n">
        <v>-95</v>
      </c>
      <c r="P3142" t="n">
        <v>0.003265</v>
      </c>
      <c r="Q3142" t="n">
        <v>-100</v>
      </c>
      <c r="R3142" t="n">
        <v>0.0454</v>
      </c>
      <c r="S3142">
        <f>IMAGE("https://mitra.stanford.edu/kundaje/oak/projects/neuro-variants/variant_position/credible/roussos_2024/variant_figures/roussos_2024.childhood.Astrocyte/rs1994381_count_position.png",4,220,900)</f>
        <v/>
      </c>
      <c r="T3142">
        <f>IMAGE("https://mitra.stanford.edu/kundaje/oak/projects/neuro-variants/variant_position/credible/roussos_2024/variant_figures/roussos_2024.childhood.Astrocyte/rs1994381_profile_position.png",4,220,900)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-0.0093676288</v>
      </c>
      <c r="G3143" t="n">
        <v>0.6861903743858325</v>
      </c>
      <c r="H3143" t="n">
        <v>0.0193399840118897</v>
      </c>
      <c r="I3143" t="n">
        <v>0.1391524205613253</v>
      </c>
      <c r="J3143" t="n">
        <v>0.0038950333173043</v>
      </c>
      <c r="K3143" t="n">
        <v>0.8011537408856717</v>
      </c>
      <c r="L3143" t="b">
        <v>0</v>
      </c>
      <c r="M3143" t="b">
        <v>0</v>
      </c>
      <c r="N3143" t="inlineStr">
        <is>
          <t>ref</t>
        </is>
      </c>
      <c r="O3143" t="n">
        <v>-100</v>
      </c>
      <c r="P3143" t="n">
        <v>0.02051</v>
      </c>
      <c r="Q3143" t="n">
        <v>-100</v>
      </c>
      <c r="R3143" t="n">
        <v>0.04074</v>
      </c>
      <c r="S3143">
        <f>IMAGE("https://mitra.stanford.edu/kundaje/oak/projects/neuro-variants/variant_position/credible/roussos_2024/variant_figures/roussos_2024.childhood.Astrocyte/rs2892779_count_position.png",4,220,900)</f>
        <v/>
      </c>
      <c r="T3143">
        <f>IMAGE("https://mitra.stanford.edu/kundaje/oak/projects/neuro-variants/variant_position/credible/roussos_2024/variant_figures/roussos_2024.childhood.Astrocyte/rs2892779_profile_position.png",4,220,900)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-0.2684618079999999</v>
      </c>
      <c r="G3144" t="n">
        <v>0.007933947939573201</v>
      </c>
      <c r="H3144" t="n">
        <v>0.0207722085754831</v>
      </c>
      <c r="I3144" t="n">
        <v>0.1122113763774629</v>
      </c>
      <c r="J3144" t="n">
        <v>0.3464251639150312</v>
      </c>
      <c r="K3144" t="n">
        <v>0.107119905700143</v>
      </c>
      <c r="L3144" t="b">
        <v>1</v>
      </c>
      <c r="M3144" t="b">
        <v>1</v>
      </c>
      <c r="N3144" t="inlineStr">
        <is>
          <t>ref</t>
        </is>
      </c>
      <c r="O3144" t="n">
        <v>-5</v>
      </c>
      <c r="P3144" t="n">
        <v>0.000885</v>
      </c>
      <c r="Q3144" t="n">
        <v>0</v>
      </c>
      <c r="R3144" t="n">
        <v>0</v>
      </c>
      <c r="S3144">
        <f>IMAGE("https://mitra.stanford.edu/kundaje/oak/projects/neuro-variants/variant_position/credible/roussos_2024/variant_figures/roussos_2024.childhood.Astrocyte/rs1992418_count_position.png",4,220,900)</f>
        <v/>
      </c>
      <c r="T3144">
        <f>IMAGE("https://mitra.stanford.edu/kundaje/oak/projects/neuro-variants/variant_position/credible/roussos_2024/variant_figures/roussos_2024.childhood.Astrocyte/rs1992418_profile_position.png",4,220,900)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0.0136863708</v>
      </c>
      <c r="G3145" t="n">
        <v>0.6358618581657554</v>
      </c>
      <c r="H3145" t="n">
        <v>0.0104702646366065</v>
      </c>
      <c r="I3145" t="n">
        <v>0.6678401521712526</v>
      </c>
      <c r="J3145" t="n">
        <v>0.0062016746429743</v>
      </c>
      <c r="K3145" t="n">
        <v>0.7578223939062008</v>
      </c>
      <c r="L3145" t="b">
        <v>0</v>
      </c>
      <c r="M3145" t="b">
        <v>0</v>
      </c>
      <c r="N3145" t="inlineStr">
        <is>
          <t>alt</t>
        </is>
      </c>
      <c r="O3145" t="n">
        <v>100</v>
      </c>
      <c r="P3145" t="n">
        <v>0.01239</v>
      </c>
      <c r="Q3145" t="n">
        <v>-85</v>
      </c>
      <c r="R3145" t="n">
        <v>0.125</v>
      </c>
      <c r="S3145">
        <f>IMAGE("https://mitra.stanford.edu/kundaje/oak/projects/neuro-variants/variant_position/credible/roussos_2024/variant_figures/roussos_2024.childhood.Astrocyte/rs6537131_count_position.png",4,220,900)</f>
        <v/>
      </c>
      <c r="T3145">
        <f>IMAGE("https://mitra.stanford.edu/kundaje/oak/projects/neuro-variants/variant_position/credible/roussos_2024/variant_figures/roussos_2024.childhood.Astrocyte/rs6537131_profile_position.png",4,220,900)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0.0157779097699999</v>
      </c>
      <c r="G3146" t="n">
        <v>0.45150347628171</v>
      </c>
      <c r="H3146" t="n">
        <v>0.0222084401816935</v>
      </c>
      <c r="I3146" t="n">
        <v>0.0881357374125015</v>
      </c>
      <c r="J3146" t="n">
        <v>0.0067199438223687</v>
      </c>
      <c r="K3146" t="n">
        <v>0.7381837053778764</v>
      </c>
      <c r="L3146" t="b">
        <v>0</v>
      </c>
      <c r="M3146" t="b">
        <v>0</v>
      </c>
      <c r="N3146" t="inlineStr">
        <is>
          <t>alt</t>
        </is>
      </c>
      <c r="O3146" t="n">
        <v>-80</v>
      </c>
      <c r="P3146" t="n">
        <v>0.01223</v>
      </c>
      <c r="Q3146" t="n">
        <v>85</v>
      </c>
      <c r="R3146" t="n">
        <v>0.129</v>
      </c>
      <c r="S3146">
        <f>IMAGE("https://mitra.stanford.edu/kundaje/oak/projects/neuro-variants/variant_position/credible/roussos_2024/variant_figures/roussos_2024.childhood.Astrocyte/rs17016873_count_position.png",4,220,900)</f>
        <v/>
      </c>
      <c r="T3146">
        <f>IMAGE("https://mitra.stanford.edu/kundaje/oak/projects/neuro-variants/variant_position/credible/roussos_2024/variant_figures/roussos_2024.childhood.Astrocyte/rs17016873_profile_position.png",4,220,900)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0.00600413346</v>
      </c>
      <c r="G3147" t="n">
        <v>0.6698064900542573</v>
      </c>
      <c r="H3147" t="n">
        <v>0.0199022792542796</v>
      </c>
      <c r="I3147" t="n">
        <v>0.1292455737126283</v>
      </c>
      <c r="J3147" t="n">
        <v>0.0017830291650446</v>
      </c>
      <c r="K3147" t="n">
        <v>0.8750677453902778</v>
      </c>
      <c r="L3147" t="b">
        <v>0</v>
      </c>
      <c r="M3147" t="b">
        <v>0</v>
      </c>
      <c r="N3147" t="inlineStr">
        <is>
          <t>alt</t>
        </is>
      </c>
      <c r="O3147" t="n">
        <v>80</v>
      </c>
      <c r="P3147" t="n">
        <v>0.00285</v>
      </c>
      <c r="Q3147" t="n">
        <v>5</v>
      </c>
      <c r="R3147" t="n">
        <v>0.006626</v>
      </c>
      <c r="S3147">
        <f>IMAGE("https://mitra.stanford.edu/kundaje/oak/projects/neuro-variants/variant_position/credible/roussos_2024/variant_figures/roussos_2024.childhood.Astrocyte/rs7681616_count_position.png",4,220,900)</f>
        <v/>
      </c>
      <c r="T3147">
        <f>IMAGE("https://mitra.stanford.edu/kundaje/oak/projects/neuro-variants/variant_position/credible/roussos_2024/variant_figures/roussos_2024.childhood.Astrocyte/rs7681616_profile_position.png",4,220,900)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-0.06861581579999999</v>
      </c>
      <c r="G3148" t="n">
        <v>0.139322389336076</v>
      </c>
      <c r="H3148" t="n">
        <v>0.0150743494982776</v>
      </c>
      <c r="I3148" t="n">
        <v>0.293481367280296</v>
      </c>
      <c r="J3148" t="n">
        <v>0.0004831581598772</v>
      </c>
      <c r="K3148" t="n">
        <v>0.9496232888270328</v>
      </c>
      <c r="L3148" t="b">
        <v>0</v>
      </c>
      <c r="M3148" t="b">
        <v>0</v>
      </c>
      <c r="N3148" t="inlineStr">
        <is>
          <t>ref</t>
        </is>
      </c>
      <c r="O3148" t="n">
        <v>100</v>
      </c>
      <c r="P3148" t="n">
        <v>0.00103</v>
      </c>
      <c r="Q3148" t="n">
        <v>-35</v>
      </c>
      <c r="R3148" t="n">
        <v>0.04053</v>
      </c>
      <c r="S3148">
        <f>IMAGE("https://mitra.stanford.edu/kundaje/oak/projects/neuro-variants/variant_position/credible/roussos_2024/variant_figures/roussos_2024.childhood.Astrocyte/rs7679474_count_position.png",4,220,900)</f>
        <v/>
      </c>
      <c r="T3148">
        <f>IMAGE("https://mitra.stanford.edu/kundaje/oak/projects/neuro-variants/variant_position/credible/roussos_2024/variant_figures/roussos_2024.childhood.Astrocyte/rs7679474_profile_position.png",4,220,900)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-0.0173800724399999</v>
      </c>
      <c r="G3149" t="n">
        <v>0.5803439319653499</v>
      </c>
      <c r="H3149" t="n">
        <v>0.0111197817581986</v>
      </c>
      <c r="I3149" t="n">
        <v>0.5999263769363808</v>
      </c>
      <c r="J3149" t="n">
        <v>0.0012624701365512</v>
      </c>
      <c r="K3149" t="n">
        <v>0.9106975062056648</v>
      </c>
      <c r="L3149" t="b">
        <v>0</v>
      </c>
      <c r="M3149" t="b">
        <v>0</v>
      </c>
      <c r="N3149" t="inlineStr">
        <is>
          <t>ref</t>
        </is>
      </c>
      <c r="O3149" t="n">
        <v>-25</v>
      </c>
      <c r="P3149" t="n">
        <v>0.0012245</v>
      </c>
      <c r="Q3149" t="n">
        <v>90</v>
      </c>
      <c r="R3149" t="n">
        <v>0.1216</v>
      </c>
      <c r="S3149">
        <f>IMAGE("https://mitra.stanford.edu/kundaje/oak/projects/neuro-variants/variant_position/credible/roussos_2024/variant_figures/roussos_2024.childhood.Astrocyte/rs10006846_count_position.png",4,220,900)</f>
        <v/>
      </c>
      <c r="T3149">
        <f>IMAGE("https://mitra.stanford.edu/kundaje/oak/projects/neuro-variants/variant_position/credible/roussos_2024/variant_figures/roussos_2024.childhood.Astrocyte/rs10006846_profile_position.png",4,220,900)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-0.010225245806</v>
      </c>
      <c r="G3150" t="n">
        <v>0.7262263001756838</v>
      </c>
      <c r="H3150" t="n">
        <v>0.0233420507727467</v>
      </c>
      <c r="I3150" t="n">
        <v>0.074539108969783</v>
      </c>
      <c r="J3150" t="n">
        <v>0.0095204292703777</v>
      </c>
      <c r="K3150" t="n">
        <v>0.7178670863018957</v>
      </c>
      <c r="L3150" t="b">
        <v>0</v>
      </c>
      <c r="M3150" t="b">
        <v>0</v>
      </c>
      <c r="N3150" t="inlineStr">
        <is>
          <t>ref</t>
        </is>
      </c>
      <c r="O3150" t="n">
        <v>-100</v>
      </c>
      <c r="P3150" t="n">
        <v>0.004196</v>
      </c>
      <c r="Q3150" t="n">
        <v>-100</v>
      </c>
      <c r="R3150" t="n">
        <v>0.1558</v>
      </c>
      <c r="S3150">
        <f>IMAGE("https://mitra.stanford.edu/kundaje/oak/projects/neuro-variants/variant_position/credible/roussos_2024/variant_figures/roussos_2024.childhood.Astrocyte/rs4690706_count_position.png",4,220,900)</f>
        <v/>
      </c>
      <c r="T3150">
        <f>IMAGE("https://mitra.stanford.edu/kundaje/oak/projects/neuro-variants/variant_position/credible/roussos_2024/variant_figures/roussos_2024.childhood.Astrocyte/rs4690706_profile_position.png",4,220,900)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0.0255749649999999</v>
      </c>
      <c r="G3151" t="n">
        <v>0.4340658471245379</v>
      </c>
      <c r="H3151" t="n">
        <v>0.0461031481270467</v>
      </c>
      <c r="I3151" t="n">
        <v>0.0055115806332386</v>
      </c>
      <c r="J3151" t="n">
        <v>0.0371863860838237</v>
      </c>
      <c r="K3151" t="n">
        <v>0.4902879211853671</v>
      </c>
      <c r="L3151" t="b">
        <v>1</v>
      </c>
      <c r="M3151" t="b">
        <v>0</v>
      </c>
      <c r="N3151" t="inlineStr">
        <is>
          <t>alt</t>
        </is>
      </c>
      <c r="O3151" t="n">
        <v>20</v>
      </c>
      <c r="P3151" t="n">
        <v>0.001953</v>
      </c>
      <c r="Q3151" t="n">
        <v>10</v>
      </c>
      <c r="R3151" t="n">
        <v>0.003174</v>
      </c>
      <c r="S3151">
        <f>IMAGE("https://mitra.stanford.edu/kundaje/oak/projects/neuro-variants/variant_position/credible/roussos_2024/variant_figures/roussos_2024.childhood.Astrocyte/rs28390284_count_position.png",4,220,900)</f>
        <v/>
      </c>
      <c r="T3151">
        <f>IMAGE("https://mitra.stanford.edu/kundaje/oak/projects/neuro-variants/variant_position/credible/roussos_2024/variant_figures/roussos_2024.childhood.Astrocyte/rs28390284_profile_position.png",4,220,900)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0.0909299663999999</v>
      </c>
      <c r="G3152" t="n">
        <v>0.08455826294397439</v>
      </c>
      <c r="H3152" t="n">
        <v>0.0159793122980917</v>
      </c>
      <c r="I3152" t="n">
        <v>0.2546376302196395</v>
      </c>
      <c r="J3152" t="n">
        <v>0.001765473655286</v>
      </c>
      <c r="K3152" t="n">
        <v>0.8766850686623698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0.01561</v>
      </c>
      <c r="Q3152" t="n">
        <v>-100</v>
      </c>
      <c r="R3152" t="n">
        <v>0.06383999999999999</v>
      </c>
      <c r="S3152">
        <f>IMAGE("https://mitra.stanford.edu/kundaje/oak/projects/neuro-variants/variant_position/credible/roussos_2024/variant_figures/roussos_2024.childhood.Astrocyte/rs4690709_count_position.png",4,220,900)</f>
        <v/>
      </c>
      <c r="T3152">
        <f>IMAGE("https://mitra.stanford.edu/kundaje/oak/projects/neuro-variants/variant_position/credible/roussos_2024/variant_figures/roussos_2024.childhood.Astrocyte/rs4690709_profile_position.png",4,220,900)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-0.0167898516</v>
      </c>
      <c r="G3153" t="n">
        <v>0.5841108861385267</v>
      </c>
      <c r="H3153" t="n">
        <v>0.0071030206059085</v>
      </c>
      <c r="I3153" t="n">
        <v>0.9621550593252216</v>
      </c>
      <c r="J3153" t="n">
        <v>0.001148740964637</v>
      </c>
      <c r="K3153" t="n">
        <v>0.911047214606852</v>
      </c>
      <c r="L3153" t="b">
        <v>0</v>
      </c>
      <c r="M3153" t="b">
        <v>0</v>
      </c>
      <c r="N3153" t="inlineStr">
        <is>
          <t>ref</t>
        </is>
      </c>
      <c r="O3153" t="n">
        <v>-100</v>
      </c>
      <c r="P3153" t="n">
        <v>0.012146</v>
      </c>
      <c r="Q3153" t="n">
        <v>-60</v>
      </c>
      <c r="R3153" t="n">
        <v>0.00993</v>
      </c>
      <c r="S3153">
        <f>IMAGE("https://mitra.stanford.edu/kundaje/oak/projects/neuro-variants/variant_position/credible/roussos_2024/variant_figures/roussos_2024.childhood.Astrocyte/rs1605954_count_position.png",4,220,900)</f>
        <v/>
      </c>
      <c r="T3153">
        <f>IMAGE("https://mitra.stanford.edu/kundaje/oak/projects/neuro-variants/variant_position/credible/roussos_2024/variant_figures/roussos_2024.childhood.Astrocyte/rs1605954_profile_position.png",4,220,900)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0.0123335484519999</v>
      </c>
      <c r="G3154" t="n">
        <v>0.5911038958790747</v>
      </c>
      <c r="H3154" t="n">
        <v>0.0071708795677453</v>
      </c>
      <c r="I3154" t="n">
        <v>0.9474897130109252</v>
      </c>
      <c r="J3154" t="n">
        <v>0.008361765626311799</v>
      </c>
      <c r="K3154" t="n">
        <v>0.7313488966442218</v>
      </c>
      <c r="L3154" t="b">
        <v>0</v>
      </c>
      <c r="M3154" t="b">
        <v>0</v>
      </c>
      <c r="N3154" t="inlineStr">
        <is>
          <t>alt</t>
        </is>
      </c>
      <c r="O3154" t="n">
        <v>100</v>
      </c>
      <c r="P3154" t="n">
        <v>0.02078</v>
      </c>
      <c r="Q3154" t="n">
        <v>5</v>
      </c>
      <c r="R3154" t="n">
        <v>0.01196</v>
      </c>
      <c r="S3154">
        <f>IMAGE("https://mitra.stanford.edu/kundaje/oak/projects/neuro-variants/variant_position/credible/roussos_2024/variant_figures/roussos_2024.childhood.Astrocyte/rs28849788_count_position.png",4,220,900)</f>
        <v/>
      </c>
      <c r="T3154">
        <f>IMAGE("https://mitra.stanford.edu/kundaje/oak/projects/neuro-variants/variant_position/credible/roussos_2024/variant_figures/roussos_2024.childhood.Astrocyte/rs28849788_profile_position.png",4,220,900)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0.015632675228</v>
      </c>
      <c r="G3155" t="n">
        <v>0.6058446496264601</v>
      </c>
      <c r="H3155" t="n">
        <v>0.0206736903433956</v>
      </c>
      <c r="I3155" t="n">
        <v>0.1116294252199001</v>
      </c>
      <c r="J3155" t="n">
        <v>0.012716295329471</v>
      </c>
      <c r="K3155" t="n">
        <v>0.6622160647510056</v>
      </c>
      <c r="L3155" t="b">
        <v>0</v>
      </c>
      <c r="M3155" t="b">
        <v>0</v>
      </c>
      <c r="N3155" t="inlineStr">
        <is>
          <t>alt</t>
        </is>
      </c>
      <c r="O3155" t="n">
        <v>95</v>
      </c>
      <c r="P3155" t="n">
        <v>0.10144</v>
      </c>
      <c r="Q3155" t="n">
        <v>95</v>
      </c>
      <c r="R3155" t="n">
        <v>0.0736</v>
      </c>
      <c r="S3155">
        <f>IMAGE("https://mitra.stanford.edu/kundaje/oak/projects/neuro-variants/variant_position/credible/roussos_2024/variant_figures/roussos_2024.childhood.Astrocyte/rs1510139_count_position.png",4,220,900)</f>
        <v/>
      </c>
      <c r="T3155">
        <f>IMAGE("https://mitra.stanford.edu/kundaje/oak/projects/neuro-variants/variant_position/credible/roussos_2024/variant_figures/roussos_2024.childhood.Astrocyte/rs1510139_profile_position.png",4,220,900)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-0.008645316199999999</v>
      </c>
      <c r="G3156" t="n">
        <v>0.4441925584386765</v>
      </c>
      <c r="H3156" t="n">
        <v>0.0115198570123398</v>
      </c>
      <c r="I3156" t="n">
        <v>0.5582180136883885</v>
      </c>
      <c r="J3156" t="n">
        <v>0.0154580079839404</v>
      </c>
      <c r="K3156" t="n">
        <v>0.6355240942383029</v>
      </c>
      <c r="L3156" t="b">
        <v>0</v>
      </c>
      <c r="M3156" t="b">
        <v>0</v>
      </c>
      <c r="N3156" t="inlineStr">
        <is>
          <t>ref</t>
        </is>
      </c>
      <c r="O3156" t="n">
        <v>-80</v>
      </c>
      <c r="P3156" t="n">
        <v>0.0325</v>
      </c>
      <c r="Q3156" t="n">
        <v>-100</v>
      </c>
      <c r="R3156" t="n">
        <v>0.1858</v>
      </c>
      <c r="S3156">
        <f>IMAGE("https://mitra.stanford.edu/kundaje/oak/projects/neuro-variants/variant_position/credible/roussos_2024/variant_figures/roussos_2024.childhood.Astrocyte/rs2083619_count_position.png",4,220,900)</f>
        <v/>
      </c>
      <c r="T3156">
        <f>IMAGE("https://mitra.stanford.edu/kundaje/oak/projects/neuro-variants/variant_position/credible/roussos_2024/variant_figures/roussos_2024.childhood.Astrocyte/rs2083619_profile_position.png",4,220,900)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0.0830445994</v>
      </c>
      <c r="G3157" t="n">
        <v>0.1089842387211516</v>
      </c>
      <c r="H3157" t="n">
        <v>0.0141692765825604</v>
      </c>
      <c r="I3157" t="n">
        <v>0.3397708752486322</v>
      </c>
      <c r="J3157" t="n">
        <v>0.0268622197797164</v>
      </c>
      <c r="K3157" t="n">
        <v>0.5461813321607297</v>
      </c>
      <c r="L3157" t="b">
        <v>0</v>
      </c>
      <c r="M3157" t="b">
        <v>0</v>
      </c>
      <c r="N3157" t="inlineStr">
        <is>
          <t>alt</t>
        </is>
      </c>
      <c r="O3157" t="n">
        <v>10</v>
      </c>
      <c r="P3157" t="n">
        <v>0.001595</v>
      </c>
      <c r="Q3157" t="n">
        <v>-25</v>
      </c>
      <c r="R3157" t="n">
        <v>0.0376</v>
      </c>
      <c r="S3157">
        <f>IMAGE("https://mitra.stanford.edu/kundaje/oak/projects/neuro-variants/variant_position/credible/roussos_2024/variant_figures/roussos_2024.childhood.Astrocyte/rs10017013_count_position.png",4,220,900)</f>
        <v/>
      </c>
      <c r="T3157">
        <f>IMAGE("https://mitra.stanford.edu/kundaje/oak/projects/neuro-variants/variant_position/credible/roussos_2024/variant_figures/roussos_2024.childhood.Astrocyte/rs10017013_profile_position.png",4,220,900)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-0.08154771199999999</v>
      </c>
      <c r="G3158" t="n">
        <v>0.1097974920402339</v>
      </c>
      <c r="H3158" t="n">
        <v>0.0209639921073214</v>
      </c>
      <c r="I3158" t="n">
        <v>0.1247818110694293</v>
      </c>
      <c r="J3158" t="n">
        <v>0.0027600314472609</v>
      </c>
      <c r="K3158" t="n">
        <v>0.8517837386229857</v>
      </c>
      <c r="L3158" t="b">
        <v>0</v>
      </c>
      <c r="M3158" t="b">
        <v>0</v>
      </c>
      <c r="N3158" t="inlineStr">
        <is>
          <t>ref</t>
        </is>
      </c>
      <c r="O3158" t="n">
        <v>50</v>
      </c>
      <c r="P3158" t="n">
        <v>0.002945</v>
      </c>
      <c r="Q3158" t="n">
        <v>100</v>
      </c>
      <c r="R3158" t="n">
        <v>0.0902</v>
      </c>
      <c r="S3158">
        <f>IMAGE("https://mitra.stanford.edu/kundaje/oak/projects/neuro-variants/variant_position/credible/roussos_2024/variant_figures/roussos_2024.childhood.Astrocyte/rs1876939_count_position.png",4,220,900)</f>
        <v/>
      </c>
      <c r="T3158">
        <f>IMAGE("https://mitra.stanford.edu/kundaje/oak/projects/neuro-variants/variant_position/credible/roussos_2024/variant_figures/roussos_2024.childhood.Astrocyte/rs1876939_profile_position.png",4,220,900)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-0.001472730188</v>
      </c>
      <c r="G3159" t="n">
        <v>0.9208982813202754</v>
      </c>
      <c r="H3159" t="n">
        <v>0.0292711180248902</v>
      </c>
      <c r="I3159" t="n">
        <v>0.0331910377164217</v>
      </c>
      <c r="J3159" t="n">
        <v>0.0043697953638188</v>
      </c>
      <c r="K3159" t="n">
        <v>0.78749447194739</v>
      </c>
      <c r="L3159" t="b">
        <v>0</v>
      </c>
      <c r="M3159" t="b">
        <v>0</v>
      </c>
      <c r="N3159" t="inlineStr">
        <is>
          <t>ref</t>
        </is>
      </c>
      <c r="O3159" t="n">
        <v>0</v>
      </c>
      <c r="P3159" t="n">
        <v>0</v>
      </c>
      <c r="Q3159" t="n">
        <v>95</v>
      </c>
      <c r="R3159" t="n">
        <v>0.119</v>
      </c>
      <c r="S3159">
        <f>IMAGE("https://mitra.stanford.edu/kundaje/oak/projects/neuro-variants/variant_position/credible/roussos_2024/variant_figures/roussos_2024.childhood.Astrocyte/rs2010483_count_position.png",4,220,900)</f>
        <v/>
      </c>
      <c r="T3159">
        <f>IMAGE("https://mitra.stanford.edu/kundaje/oak/projects/neuro-variants/variant_position/credible/roussos_2024/variant_figures/roussos_2024.childhood.Astrocyte/rs2010483_profile_position.png",4,220,900)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0.0481327938</v>
      </c>
      <c r="G3160" t="n">
        <v>0.2186467038439959</v>
      </c>
      <c r="H3160" t="n">
        <v>0.0100142007847694</v>
      </c>
      <c r="I3160" t="n">
        <v>0.7066737683382982</v>
      </c>
      <c r="J3160" t="n">
        <v>0.0015464114248204</v>
      </c>
      <c r="K3160" t="n">
        <v>0.8797158520237138</v>
      </c>
      <c r="L3160" t="b">
        <v>0</v>
      </c>
      <c r="M3160" t="b">
        <v>0</v>
      </c>
      <c r="N3160" t="inlineStr">
        <is>
          <t>alt</t>
        </is>
      </c>
      <c r="O3160" t="n">
        <v>-95</v>
      </c>
      <c r="P3160" t="n">
        <v>0.005135</v>
      </c>
      <c r="Q3160" t="n">
        <v>20</v>
      </c>
      <c r="R3160" t="n">
        <v>0.04208</v>
      </c>
      <c r="S3160">
        <f>IMAGE("https://mitra.stanford.edu/kundaje/oak/projects/neuro-variants/variant_position/credible/roussos_2024/variant_figures/roussos_2024.childhood.Astrocyte/rs4690738_count_position.png",4,220,900)</f>
        <v/>
      </c>
      <c r="T3160">
        <f>IMAGE("https://mitra.stanford.edu/kundaje/oak/projects/neuro-variants/variant_position/credible/roussos_2024/variant_figures/roussos_2024.childhood.Astrocyte/rs4690738_profile_position.png",4,220,900)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-0.0586670006</v>
      </c>
      <c r="G3161" t="n">
        <v>0.1846468041393521</v>
      </c>
      <c r="H3161" t="n">
        <v>0.0136314575503529</v>
      </c>
      <c r="I3161" t="n">
        <v>0.3834709005451849</v>
      </c>
      <c r="J3161" t="n">
        <v>0.0149092074832268</v>
      </c>
      <c r="K3161" t="n">
        <v>0.6360851786454665</v>
      </c>
      <c r="L3161" t="b">
        <v>0</v>
      </c>
      <c r="M3161" t="b">
        <v>0</v>
      </c>
      <c r="N3161" t="inlineStr">
        <is>
          <t>ref</t>
        </is>
      </c>
      <c r="O3161" t="n">
        <v>-30</v>
      </c>
      <c r="P3161" t="n">
        <v>0.00164</v>
      </c>
      <c r="Q3161" t="n">
        <v>75</v>
      </c>
      <c r="R3161" t="n">
        <v>0.08450000000000001</v>
      </c>
      <c r="S3161">
        <f>IMAGE("https://mitra.stanford.edu/kundaje/oak/projects/neuro-variants/variant_position/credible/roussos_2024/variant_figures/roussos_2024.childhood.Astrocyte/rs13115045_count_position.png",4,220,900)</f>
        <v/>
      </c>
      <c r="T3161">
        <f>IMAGE("https://mitra.stanford.edu/kundaje/oak/projects/neuro-variants/variant_position/credible/roussos_2024/variant_figures/roussos_2024.childhood.Astrocyte/rs13115045_profile_position.png",4,220,900)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0.0097804031</v>
      </c>
      <c r="G3162" t="n">
        <v>0.6883496156715497</v>
      </c>
      <c r="H3162" t="n">
        <v>0.0197544345049977</v>
      </c>
      <c r="I3162" t="n">
        <v>0.1316388827433086</v>
      </c>
      <c r="J3162" t="n">
        <v>0.0501660140596734</v>
      </c>
      <c r="K3162" t="n">
        <v>0.4492982525812363</v>
      </c>
      <c r="L3162" t="b">
        <v>0</v>
      </c>
      <c r="M3162" t="b">
        <v>0</v>
      </c>
      <c r="N3162" t="inlineStr">
        <is>
          <t>alt</t>
        </is>
      </c>
      <c r="O3162" t="n">
        <v>-85</v>
      </c>
      <c r="P3162" t="n">
        <v>0.02567</v>
      </c>
      <c r="Q3162" t="n">
        <v>-85</v>
      </c>
      <c r="R3162" t="n">
        <v>0.109</v>
      </c>
      <c r="S3162">
        <f>IMAGE("https://mitra.stanford.edu/kundaje/oak/projects/neuro-variants/variant_position/credible/roussos_2024/variant_figures/roussos_2024.childhood.Astrocyte/rs10009395_count_position.png",4,220,900)</f>
        <v/>
      </c>
      <c r="T3162">
        <f>IMAGE("https://mitra.stanford.edu/kundaje/oak/projects/neuro-variants/variant_position/credible/roussos_2024/variant_figures/roussos_2024.childhood.Astrocyte/rs10009395_profile_position.png",4,220,900)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0.06445462959999999</v>
      </c>
      <c r="G3163" t="n">
        <v>0.1460338045607462</v>
      </c>
      <c r="H3163" t="n">
        <v>0.0112887370985561</v>
      </c>
      <c r="I3163" t="n">
        <v>0.5885826782172939</v>
      </c>
      <c r="J3163" t="n">
        <v>0.0155244136078098</v>
      </c>
      <c r="K3163" t="n">
        <v>0.6668026897377124</v>
      </c>
      <c r="L3163" t="b">
        <v>0</v>
      </c>
      <c r="M3163" t="b">
        <v>0</v>
      </c>
      <c r="N3163" t="inlineStr">
        <is>
          <t>alt</t>
        </is>
      </c>
      <c r="O3163" t="n">
        <v>-75</v>
      </c>
      <c r="P3163" t="n">
        <v>0.01133</v>
      </c>
      <c r="Q3163" t="n">
        <v>15</v>
      </c>
      <c r="R3163" t="n">
        <v>0.04712</v>
      </c>
      <c r="S3163">
        <f>IMAGE("https://mitra.stanford.edu/kundaje/oak/projects/neuro-variants/variant_position/credible/roussos_2024/variant_figures/roussos_2024.childhood.Astrocyte/rs34596213_count_position.png",4,220,900)</f>
        <v/>
      </c>
      <c r="T3163">
        <f>IMAGE("https://mitra.stanford.edu/kundaje/oak/projects/neuro-variants/variant_position/credible/roussos_2024/variant_figures/roussos_2024.childhood.Astrocyte/rs34596213_profile_position.png",4,220,900)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0.0181032576</v>
      </c>
      <c r="G3164" t="n">
        <v>0.3680519462459098</v>
      </c>
      <c r="H3164" t="n">
        <v>0.0263058510545204</v>
      </c>
      <c r="I3164" t="n">
        <v>0.0492942415800733</v>
      </c>
      <c r="J3164" t="n">
        <v>0.23462022852694</v>
      </c>
      <c r="K3164" t="n">
        <v>0.1726521197469137</v>
      </c>
      <c r="L3164" t="b">
        <v>0</v>
      </c>
      <c r="M3164" t="b">
        <v>0</v>
      </c>
      <c r="N3164" t="inlineStr">
        <is>
          <t>alt</t>
        </is>
      </c>
      <c r="O3164" t="n">
        <v>45</v>
      </c>
      <c r="P3164" t="n">
        <v>0.00625</v>
      </c>
      <c r="Q3164" t="n">
        <v>-100</v>
      </c>
      <c r="R3164" t="n">
        <v>0.08856</v>
      </c>
      <c r="S3164">
        <f>IMAGE("https://mitra.stanford.edu/kundaje/oak/projects/neuro-variants/variant_position/credible/roussos_2024/variant_figures/roussos_2024.childhood.Astrocyte/rs4690740_count_position.png",4,220,900)</f>
        <v/>
      </c>
      <c r="T3164">
        <f>IMAGE("https://mitra.stanford.edu/kundaje/oak/projects/neuro-variants/variant_position/credible/roussos_2024/variant_figures/roussos_2024.childhood.Astrocyte/rs4690740_profile_position.png",4,220,900)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-0.11673928</v>
      </c>
      <c r="G3165" t="n">
        <v>0.059239285263076</v>
      </c>
      <c r="H3165" t="n">
        <v>0.0142391243898777</v>
      </c>
      <c r="I3165" t="n">
        <v>0.3441721976825438</v>
      </c>
      <c r="J3165" t="n">
        <v>0.1235953683985558</v>
      </c>
      <c r="K3165" t="n">
        <v>0.2908447877355063</v>
      </c>
      <c r="L3165" t="b">
        <v>0</v>
      </c>
      <c r="M3165" t="b">
        <v>0</v>
      </c>
      <c r="N3165" t="inlineStr">
        <is>
          <t>ref</t>
        </is>
      </c>
      <c r="O3165" t="n">
        <v>-40</v>
      </c>
      <c r="P3165" t="n">
        <v>0.01834</v>
      </c>
      <c r="Q3165" t="n">
        <v>10</v>
      </c>
      <c r="R3165" t="n">
        <v>0.04443</v>
      </c>
      <c r="S3165">
        <f>IMAGE("https://mitra.stanford.edu/kundaje/oak/projects/neuro-variants/variant_position/credible/roussos_2024/variant_figures/roussos_2024.childhood.Astrocyte/rs17678304_count_position.png",4,220,900)</f>
        <v/>
      </c>
      <c r="T3165">
        <f>IMAGE("https://mitra.stanford.edu/kundaje/oak/projects/neuro-variants/variant_position/credible/roussos_2024/variant_figures/roussos_2024.childhood.Astrocyte/rs17678304_profile_position.png",4,220,900)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-0.0449205602</v>
      </c>
      <c r="G3166" t="n">
        <v>0.259248916882369</v>
      </c>
      <c r="H3166" t="n">
        <v>0.0127469410713083</v>
      </c>
      <c r="I3166" t="n">
        <v>0.4491861464451382</v>
      </c>
      <c r="J3166" t="n">
        <v>0.0035706380282872</v>
      </c>
      <c r="K3166" t="n">
        <v>0.8447172874399528</v>
      </c>
      <c r="L3166" t="b">
        <v>0</v>
      </c>
      <c r="M3166" t="b">
        <v>0</v>
      </c>
      <c r="N3166" t="inlineStr">
        <is>
          <t>ref</t>
        </is>
      </c>
      <c r="O3166" t="n">
        <v>-20</v>
      </c>
      <c r="P3166" t="n">
        <v>0.004</v>
      </c>
      <c r="Q3166" t="n">
        <v>-100</v>
      </c>
      <c r="R3166" t="n">
        <v>0.10675</v>
      </c>
      <c r="S3166">
        <f>IMAGE("https://mitra.stanford.edu/kundaje/oak/projects/neuro-variants/variant_position/credible/roussos_2024/variant_figures/roussos_2024.childhood.Astrocyte/rs10026166_count_position.png",4,220,900)</f>
        <v/>
      </c>
      <c r="T3166">
        <f>IMAGE("https://mitra.stanford.edu/kundaje/oak/projects/neuro-variants/variant_position/credible/roussos_2024/variant_figures/roussos_2024.childhood.Astrocyte/rs10026166_profile_position.png",4,220,900)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-0.0293973153</v>
      </c>
      <c r="G3167" t="n">
        <v>0.4044701122326747</v>
      </c>
      <c r="H3167" t="n">
        <v>0.0380919340546187</v>
      </c>
      <c r="I3167" t="n">
        <v>0.0118261380662182</v>
      </c>
      <c r="J3167" t="n">
        <v>0.0014113103279826</v>
      </c>
      <c r="K3167" t="n">
        <v>0.8798593007947424</v>
      </c>
      <c r="L3167" t="b">
        <v>0</v>
      </c>
      <c r="M3167" t="b">
        <v>0</v>
      </c>
      <c r="N3167" t="inlineStr">
        <is>
          <t>ref</t>
        </is>
      </c>
      <c r="O3167" t="n">
        <v>-85</v>
      </c>
      <c r="P3167" t="n">
        <v>0.10016</v>
      </c>
      <c r="Q3167" t="n">
        <v>35</v>
      </c>
      <c r="R3167" t="n">
        <v>0.09760000000000001</v>
      </c>
      <c r="S3167">
        <f>IMAGE("https://mitra.stanford.edu/kundaje/oak/projects/neuro-variants/variant_position/credible/roussos_2024/variant_figures/roussos_2024.childhood.Astrocyte/rs7666854_count_position.png",4,220,900)</f>
        <v/>
      </c>
      <c r="T3167">
        <f>IMAGE("https://mitra.stanford.edu/kundaje/oak/projects/neuro-variants/variant_position/credible/roussos_2024/variant_figures/roussos_2024.childhood.Astrocyte/rs7666854_profile_position.png",4,220,900)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-0.0163516012</v>
      </c>
      <c r="G3168" t="n">
        <v>0.473268361657101</v>
      </c>
      <c r="H3168" t="n">
        <v>0.0198767443595298</v>
      </c>
      <c r="I3168" t="n">
        <v>0.1370410278320376</v>
      </c>
      <c r="J3168" t="n">
        <v>0.0129765748437177</v>
      </c>
      <c r="K3168" t="n">
        <v>0.6650715615605383</v>
      </c>
      <c r="L3168" t="b">
        <v>0</v>
      </c>
      <c r="M3168" t="b">
        <v>0</v>
      </c>
      <c r="N3168" t="inlineStr">
        <is>
          <t>ref</t>
        </is>
      </c>
      <c r="O3168" t="n">
        <v>-40</v>
      </c>
      <c r="P3168" t="n">
        <v>0.01651</v>
      </c>
      <c r="Q3168" t="n">
        <v>-40</v>
      </c>
      <c r="R3168" t="n">
        <v>0.0677</v>
      </c>
      <c r="S3168">
        <f>IMAGE("https://mitra.stanford.edu/kundaje/oak/projects/neuro-variants/variant_position/credible/roussos_2024/variant_figures/roussos_2024.childhood.Astrocyte/rs11936467_count_position.png",4,220,900)</f>
        <v/>
      </c>
      <c r="T3168">
        <f>IMAGE("https://mitra.stanford.edu/kundaje/oak/projects/neuro-variants/variant_position/credible/roussos_2024/variant_figures/roussos_2024.childhood.Astrocyte/rs11936467_profile_position.png",4,220,900)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0.250813754</v>
      </c>
      <c r="G3169" t="n">
        <v>0.0095812990008262</v>
      </c>
      <c r="H3169" t="n">
        <v>0.0272796373921296</v>
      </c>
      <c r="I3169" t="n">
        <v>0.0446835447050714</v>
      </c>
      <c r="J3169" t="n">
        <v>0.1973147702899712</v>
      </c>
      <c r="K3169" t="n">
        <v>0.2141398869742428</v>
      </c>
      <c r="L3169" t="b">
        <v>1</v>
      </c>
      <c r="M3169" t="b">
        <v>1</v>
      </c>
      <c r="N3169" t="inlineStr">
        <is>
          <t>alt</t>
        </is>
      </c>
      <c r="O3169" t="n">
        <v>35</v>
      </c>
      <c r="P3169" t="n">
        <v>0.001204</v>
      </c>
      <c r="Q3169" t="n">
        <v>95</v>
      </c>
      <c r="R3169" t="n">
        <v>0.0542</v>
      </c>
      <c r="S3169">
        <f>IMAGE("https://mitra.stanford.edu/kundaje/oak/projects/neuro-variants/variant_position/credible/roussos_2024/variant_figures/roussos_2024.childhood.Astrocyte/rs6820975_count_position.png",4,220,900)</f>
        <v/>
      </c>
      <c r="T3169">
        <f>IMAGE("https://mitra.stanford.edu/kundaje/oak/projects/neuro-variants/variant_position/credible/roussos_2024/variant_figures/roussos_2024.childhood.Astrocyte/rs6820975_profile_position.png",4,220,900)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0.26126536</v>
      </c>
      <c r="G3170" t="n">
        <v>0.0078729015596011</v>
      </c>
      <c r="H3170" t="n">
        <v>0.0380859989321559</v>
      </c>
      <c r="I3170" t="n">
        <v>0.0118616556529183</v>
      </c>
      <c r="J3170" t="n">
        <v>0.1972079106653537</v>
      </c>
      <c r="K3170" t="n">
        <v>0.2125773345094469</v>
      </c>
      <c r="L3170" t="b">
        <v>1</v>
      </c>
      <c r="M3170" t="b">
        <v>1</v>
      </c>
      <c r="N3170" t="inlineStr">
        <is>
          <t>alt</t>
        </is>
      </c>
      <c r="O3170" t="n">
        <v>30</v>
      </c>
      <c r="P3170" t="n">
        <v>0.002144</v>
      </c>
      <c r="Q3170" t="n">
        <v>90</v>
      </c>
      <c r="R3170" t="n">
        <v>0.04395</v>
      </c>
      <c r="S3170">
        <f>IMAGE("https://mitra.stanford.edu/kundaje/oak/projects/neuro-variants/variant_position/credible/roussos_2024/variant_figures/roussos_2024.childhood.Astrocyte/rs6815888_count_position.png",4,220,900)</f>
        <v/>
      </c>
      <c r="T3170">
        <f>IMAGE("https://mitra.stanford.edu/kundaje/oak/projects/neuro-variants/variant_position/credible/roussos_2024/variant_figures/roussos_2024.childhood.Astrocyte/rs6815888_profile_position.png",4,220,900)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-0.0461542812</v>
      </c>
      <c r="G3171" t="n">
        <v>0.2559721752994993</v>
      </c>
      <c r="H3171" t="n">
        <v>0.0123703902825237</v>
      </c>
      <c r="I3171" t="n">
        <v>0.4766262638507961</v>
      </c>
      <c r="J3171" t="n">
        <v>0.060226084434369</v>
      </c>
      <c r="K3171" t="n">
        <v>0.4221353219308812</v>
      </c>
      <c r="L3171" t="b">
        <v>0</v>
      </c>
      <c r="M3171" t="b">
        <v>0</v>
      </c>
      <c r="N3171" t="inlineStr">
        <is>
          <t>ref</t>
        </is>
      </c>
      <c r="O3171" t="n">
        <v>-100</v>
      </c>
      <c r="P3171" t="n">
        <v>0.009285</v>
      </c>
      <c r="Q3171" t="n">
        <v>55</v>
      </c>
      <c r="R3171" t="n">
        <v>0.0885</v>
      </c>
      <c r="S3171">
        <f>IMAGE("https://mitra.stanford.edu/kundaje/oak/projects/neuro-variants/variant_position/credible/roussos_2024/variant_figures/roussos_2024.childhood.Astrocyte/rs13101590_count_position.png",4,220,900)</f>
        <v/>
      </c>
      <c r="T3171">
        <f>IMAGE("https://mitra.stanford.edu/kundaje/oak/projects/neuro-variants/variant_position/credible/roussos_2024/variant_figures/roussos_2024.childhood.Astrocyte/rs13101590_profile_position.png",4,220,900)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0.0466848556</v>
      </c>
      <c r="G3172" t="n">
        <v>0.2542032840308074</v>
      </c>
      <c r="H3172" t="n">
        <v>0.0112698797319588</v>
      </c>
      <c r="I3172" t="n">
        <v>0.5758571756437765</v>
      </c>
      <c r="J3172" t="n">
        <v>0.06645142085136579</v>
      </c>
      <c r="K3172" t="n">
        <v>0.4043610446655272</v>
      </c>
      <c r="L3172" t="b">
        <v>0</v>
      </c>
      <c r="M3172" t="b">
        <v>0</v>
      </c>
      <c r="N3172" t="inlineStr">
        <is>
          <t>alt</t>
        </is>
      </c>
      <c r="O3172" t="n">
        <v>-100</v>
      </c>
      <c r="P3172" t="n">
        <v>0.00967</v>
      </c>
      <c r="Q3172" t="n">
        <v>50</v>
      </c>
      <c r="R3172" t="n">
        <v>0.07214</v>
      </c>
      <c r="S3172">
        <f>IMAGE("https://mitra.stanford.edu/kundaje/oak/projects/neuro-variants/variant_position/credible/roussos_2024/variant_figures/roussos_2024.childhood.Astrocyte/rs13128465_count_position.png",4,220,900)</f>
        <v/>
      </c>
      <c r="T3172">
        <f>IMAGE("https://mitra.stanford.edu/kundaje/oak/projects/neuro-variants/variant_position/credible/roussos_2024/variant_figures/roussos_2024.childhood.Astrocyte/rs13128465_profile_position.png",4,220,900)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0.0326758256</v>
      </c>
      <c r="G3173" t="n">
        <v>0.3631195938454749</v>
      </c>
      <c r="H3173" t="n">
        <v>0.0313859666323671</v>
      </c>
      <c r="I3173" t="n">
        <v>0.0254707686335695</v>
      </c>
      <c r="J3173" t="n">
        <v>0.1943028554418263</v>
      </c>
      <c r="K3173" t="n">
        <v>0.2093579050065734</v>
      </c>
      <c r="L3173" t="b">
        <v>0</v>
      </c>
      <c r="M3173" t="b">
        <v>0</v>
      </c>
      <c r="N3173" t="inlineStr">
        <is>
          <t>alt</t>
        </is>
      </c>
      <c r="O3173" t="n">
        <v>75</v>
      </c>
      <c r="P3173" t="n">
        <v>0.003876</v>
      </c>
      <c r="Q3173" t="n">
        <v>-25</v>
      </c>
      <c r="R3173" t="n">
        <v>0.0271</v>
      </c>
      <c r="S3173">
        <f>IMAGE("https://mitra.stanford.edu/kundaje/oak/projects/neuro-variants/variant_position/credible/roussos_2024/variant_figures/roussos_2024.childhood.Astrocyte/rs13147901_count_position.png",4,220,900)</f>
        <v/>
      </c>
      <c r="T3173">
        <f>IMAGE("https://mitra.stanford.edu/kundaje/oak/projects/neuro-variants/variant_position/credible/roussos_2024/variant_figures/roussos_2024.childhood.Astrocyte/rs13147901_profile_position.png",4,220,900)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0.0099960636799999</v>
      </c>
      <c r="G3174" t="n">
        <v>0.7206653871498429</v>
      </c>
      <c r="H3174" t="n">
        <v>0.032414165792012</v>
      </c>
      <c r="I3174" t="n">
        <v>0.0221658586947571</v>
      </c>
      <c r="J3174" t="n">
        <v>0.0033355468541289</v>
      </c>
      <c r="K3174" t="n">
        <v>0.8216379361967423</v>
      </c>
      <c r="L3174" t="b">
        <v>0</v>
      </c>
      <c r="M3174" t="b">
        <v>0</v>
      </c>
      <c r="N3174" t="inlineStr">
        <is>
          <t>alt</t>
        </is>
      </c>
      <c r="O3174" t="n">
        <v>95</v>
      </c>
      <c r="P3174" t="n">
        <v>0.013695</v>
      </c>
      <c r="Q3174" t="n">
        <v>-100</v>
      </c>
      <c r="R3174" t="n">
        <v>0.05017</v>
      </c>
      <c r="S3174">
        <f>IMAGE("https://mitra.stanford.edu/kundaje/oak/projects/neuro-variants/variant_position/credible/roussos_2024/variant_figures/roussos_2024.childhood.Astrocyte/rs4690743_count_position.png",4,220,900)</f>
        <v/>
      </c>
      <c r="T3174">
        <f>IMAGE("https://mitra.stanford.edu/kundaje/oak/projects/neuro-variants/variant_position/credible/roussos_2024/variant_figures/roussos_2024.childhood.Astrocyte/rs4690743_profile_position.png",4,220,900)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0.185532566</v>
      </c>
      <c r="G3175" t="n">
        <v>0.0201556381654884</v>
      </c>
      <c r="H3175" t="n">
        <v>0.0276622777880253</v>
      </c>
      <c r="I3175" t="n">
        <v>0.0427046916226227</v>
      </c>
      <c r="J3175" t="n">
        <v>0.0088647691450466</v>
      </c>
      <c r="K3175" t="n">
        <v>0.7115802380796304</v>
      </c>
      <c r="L3175" t="b">
        <v>0</v>
      </c>
      <c r="M3175" t="b">
        <v>0</v>
      </c>
      <c r="N3175" t="inlineStr">
        <is>
          <t>alt</t>
        </is>
      </c>
      <c r="O3175" t="n">
        <v>80</v>
      </c>
      <c r="P3175" t="n">
        <v>0.674</v>
      </c>
      <c r="Q3175" t="n">
        <v>95</v>
      </c>
      <c r="R3175" t="n">
        <v>0.2568</v>
      </c>
      <c r="S3175">
        <f>IMAGE("https://mitra.stanford.edu/kundaje/oak/projects/neuro-variants/variant_position/credible/roussos_2024/variant_figures/roussos_2024.childhood.Astrocyte/rs13110491_count_position.png",4,220,900)</f>
        <v/>
      </c>
      <c r="T3175">
        <f>IMAGE("https://mitra.stanford.edu/kundaje/oak/projects/neuro-variants/variant_position/credible/roussos_2024/variant_figures/roussos_2024.childhood.Astrocyte/rs13110491_profile_position.png",4,220,900)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-0.0047356353</v>
      </c>
      <c r="G3176" t="n">
        <v>0.7480896075095087</v>
      </c>
      <c r="H3176" t="n">
        <v>0.0061160376298943</v>
      </c>
      <c r="I3176" t="n">
        <v>0.9885289250255253</v>
      </c>
      <c r="J3176" t="n">
        <v>0.0118866066726202</v>
      </c>
      <c r="K3176" t="n">
        <v>0.6679089092699754</v>
      </c>
      <c r="L3176" t="b">
        <v>0</v>
      </c>
      <c r="M3176" t="b">
        <v>0</v>
      </c>
      <c r="N3176" t="inlineStr">
        <is>
          <t>ref</t>
        </is>
      </c>
      <c r="O3176" t="n">
        <v>-100</v>
      </c>
      <c r="P3176" t="n">
        <v>0.11487</v>
      </c>
      <c r="Q3176" t="n">
        <v>-100</v>
      </c>
      <c r="R3176" t="n">
        <v>0.1183</v>
      </c>
      <c r="S3176">
        <f>IMAGE("https://mitra.stanford.edu/kundaje/oak/projects/neuro-variants/variant_position/credible/roussos_2024/variant_figures/roussos_2024.childhood.Astrocyte/rs9308158_count_position.png",4,220,900)</f>
        <v/>
      </c>
      <c r="T3176">
        <f>IMAGE("https://mitra.stanford.edu/kundaje/oak/projects/neuro-variants/variant_position/credible/roussos_2024/variant_figures/roussos_2024.childhood.Astrocyte/rs9308158_profile_position.png",4,220,900)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-0.331712568</v>
      </c>
      <c r="G3177" t="n">
        <v>0.0044085920517017</v>
      </c>
      <c r="H3177" t="n">
        <v>0.0608948941838452</v>
      </c>
      <c r="I3177" t="n">
        <v>0.0020058032614505</v>
      </c>
      <c r="J3177" t="n">
        <v>0.0923099234427117</v>
      </c>
      <c r="K3177" t="n">
        <v>0.3526068432753763</v>
      </c>
      <c r="L3177" t="b">
        <v>1</v>
      </c>
      <c r="M3177" t="b">
        <v>1</v>
      </c>
      <c r="N3177" t="inlineStr">
        <is>
          <t>ref</t>
        </is>
      </c>
      <c r="O3177" t="n">
        <v>70</v>
      </c>
      <c r="P3177" t="n">
        <v>0.01092</v>
      </c>
      <c r="Q3177" t="n">
        <v>95</v>
      </c>
      <c r="R3177" t="n">
        <v>0.1218</v>
      </c>
      <c r="S3177">
        <f>IMAGE("https://mitra.stanford.edu/kundaje/oak/projects/neuro-variants/variant_position/credible/roussos_2024/variant_figures/roussos_2024.childhood.Astrocyte/rs1510140_count_position.png",4,220,900)</f>
        <v/>
      </c>
      <c r="T3177">
        <f>IMAGE("https://mitra.stanford.edu/kundaje/oak/projects/neuro-variants/variant_position/credible/roussos_2024/variant_figures/roussos_2024.childhood.Astrocyte/rs1510140_profile_position.png",4,220,900)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0.0750561018</v>
      </c>
      <c r="G3178" t="n">
        <v>0.1157534178051665</v>
      </c>
      <c r="H3178" t="n">
        <v>0.0167442915996145</v>
      </c>
      <c r="I3178" t="n">
        <v>0.220022073726613</v>
      </c>
      <c r="J3178" t="n">
        <v>0.0100249593551784</v>
      </c>
      <c r="K3178" t="n">
        <v>0.6898337684208969</v>
      </c>
      <c r="L3178" t="b">
        <v>0</v>
      </c>
      <c r="M3178" t="b">
        <v>0</v>
      </c>
      <c r="N3178" t="inlineStr">
        <is>
          <t>alt</t>
        </is>
      </c>
      <c r="O3178" t="n">
        <v>100</v>
      </c>
      <c r="P3178" t="n">
        <v>0.05048</v>
      </c>
      <c r="Q3178" t="n">
        <v>100</v>
      </c>
      <c r="R3178" t="n">
        <v>0.294</v>
      </c>
      <c r="S3178">
        <f>IMAGE("https://mitra.stanford.edu/kundaje/oak/projects/neuro-variants/variant_position/credible/roussos_2024/variant_figures/roussos_2024.childhood.Astrocyte/rs2341895_count_position.png",4,220,900)</f>
        <v/>
      </c>
      <c r="T3178">
        <f>IMAGE("https://mitra.stanford.edu/kundaje/oak/projects/neuro-variants/variant_position/credible/roussos_2024/variant_figures/roussos_2024.childhood.Astrocyte/rs2341895_profile_position.png",4,220,900)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0.01660204332</v>
      </c>
      <c r="G3179" t="n">
        <v>0.5762598925945109</v>
      </c>
      <c r="H3179" t="n">
        <v>0.0337791856882217</v>
      </c>
      <c r="I3179" t="n">
        <v>0.0191028723095442</v>
      </c>
      <c r="J3179" t="n">
        <v>0.000367902421897</v>
      </c>
      <c r="K3179" t="n">
        <v>0.957057913446248</v>
      </c>
      <c r="L3179" t="b">
        <v>0</v>
      </c>
      <c r="M3179" t="b">
        <v>0</v>
      </c>
      <c r="N3179" t="inlineStr">
        <is>
          <t>alt</t>
        </is>
      </c>
      <c r="O3179" t="n">
        <v>-70</v>
      </c>
      <c r="P3179" t="n">
        <v>0.05225</v>
      </c>
      <c r="Q3179" t="n">
        <v>-90</v>
      </c>
      <c r="R3179" t="n">
        <v>0.0921</v>
      </c>
      <c r="S3179">
        <f>IMAGE("https://mitra.stanford.edu/kundaje/oak/projects/neuro-variants/variant_position/credible/roussos_2024/variant_figures/roussos_2024.childhood.Astrocyte/rs12651028_count_position.png",4,220,900)</f>
        <v/>
      </c>
      <c r="T3179">
        <f>IMAGE("https://mitra.stanford.edu/kundaje/oak/projects/neuro-variants/variant_position/credible/roussos_2024/variant_figures/roussos_2024.childhood.Astrocyte/rs12651028_profile_position.png",4,220,900)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-0.181909576</v>
      </c>
      <c r="G3180" t="n">
        <v>0.0212110263773454</v>
      </c>
      <c r="H3180" t="n">
        <v>0.0319092638557609</v>
      </c>
      <c r="I3180" t="n">
        <v>0.0231739355012054</v>
      </c>
      <c r="J3180" t="n">
        <v>0.0242594246372496</v>
      </c>
      <c r="K3180" t="n">
        <v>0.5632220744233012</v>
      </c>
      <c r="L3180" t="b">
        <v>0</v>
      </c>
      <c r="M3180" t="b">
        <v>0</v>
      </c>
      <c r="N3180" t="inlineStr">
        <is>
          <t>ref</t>
        </is>
      </c>
      <c r="O3180" t="n">
        <v>55</v>
      </c>
      <c r="P3180" t="n">
        <v>0.005806</v>
      </c>
      <c r="Q3180" t="n">
        <v>-45</v>
      </c>
      <c r="R3180" t="n">
        <v>0.07104000000000001</v>
      </c>
      <c r="S3180">
        <f>IMAGE("https://mitra.stanford.edu/kundaje/oak/projects/neuro-variants/variant_position/credible/roussos_2024/variant_figures/roussos_2024.childhood.Astrocyte/rs982012_count_position.png",4,220,900)</f>
        <v/>
      </c>
      <c r="T3180">
        <f>IMAGE("https://mitra.stanford.edu/kundaje/oak/projects/neuro-variants/variant_position/credible/roussos_2024/variant_figures/roussos_2024.childhood.Astrocyte/rs982012_profile_position.png",4,220,900)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-0.0231822184</v>
      </c>
      <c r="G3181" t="n">
        <v>0.4730307167783317</v>
      </c>
      <c r="H3181" t="n">
        <v>0.0077256094835081</v>
      </c>
      <c r="I3181" t="n">
        <v>0.925523978426552</v>
      </c>
      <c r="J3181" t="n">
        <v>0.0029905429232213</v>
      </c>
      <c r="K3181" t="n">
        <v>0.8451305371910877</v>
      </c>
      <c r="L3181" t="b">
        <v>0</v>
      </c>
      <c r="M3181" t="b">
        <v>0</v>
      </c>
      <c r="N3181" t="inlineStr">
        <is>
          <t>ref</t>
        </is>
      </c>
      <c r="O3181" t="n">
        <v>100</v>
      </c>
      <c r="P3181" t="n">
        <v>0.01735</v>
      </c>
      <c r="Q3181" t="n">
        <v>100</v>
      </c>
      <c r="R3181" t="n">
        <v>0.1255</v>
      </c>
      <c r="S3181">
        <f>IMAGE("https://mitra.stanford.edu/kundaje/oak/projects/neuro-variants/variant_position/credible/roussos_2024/variant_figures/roussos_2024.childhood.Astrocyte/rs877367_count_position.png",4,220,900)</f>
        <v/>
      </c>
      <c r="T3181">
        <f>IMAGE("https://mitra.stanford.edu/kundaje/oak/projects/neuro-variants/variant_position/credible/roussos_2024/variant_figures/roussos_2024.childhood.Astrocyte/rs877367_profile_position.png",4,220,900)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0.0525596644</v>
      </c>
      <c r="G3182" t="n">
        <v>0.1973698239685197</v>
      </c>
      <c r="H3182" t="n">
        <v>0.0107861310290188</v>
      </c>
      <c r="I3182" t="n">
        <v>0.6331518397871599</v>
      </c>
      <c r="J3182" t="n">
        <v>0.0257409570042666</v>
      </c>
      <c r="K3182" t="n">
        <v>0.570890765841748</v>
      </c>
      <c r="L3182" t="b">
        <v>0</v>
      </c>
      <c r="M3182" t="b">
        <v>0</v>
      </c>
      <c r="N3182" t="inlineStr">
        <is>
          <t>alt</t>
        </is>
      </c>
      <c r="O3182" t="n">
        <v>-100</v>
      </c>
      <c r="P3182" t="n">
        <v>0.0198</v>
      </c>
      <c r="Q3182" t="n">
        <v>100</v>
      </c>
      <c r="R3182" t="n">
        <v>0.3071</v>
      </c>
      <c r="S3182">
        <f>IMAGE("https://mitra.stanford.edu/kundaje/oak/projects/neuro-variants/variant_position/credible/roussos_2024/variant_figures/roussos_2024.childhood.Astrocyte/rs1037027_count_position.png",4,220,900)</f>
        <v/>
      </c>
      <c r="T3182">
        <f>IMAGE("https://mitra.stanford.edu/kundaje/oak/projects/neuro-variants/variant_position/credible/roussos_2024/variant_figures/roussos_2024.childhood.Astrocyte/rs1037027_profile_position.png",4,220,900)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0.00799177526</v>
      </c>
      <c r="G3183" t="n">
        <v>0.7744037845483753</v>
      </c>
      <c r="H3183" t="n">
        <v>0.0125242992672501</v>
      </c>
      <c r="I3183" t="n">
        <v>0.4704711593861362</v>
      </c>
      <c r="J3183" t="n">
        <v>0.0051132330379427</v>
      </c>
      <c r="K3183" t="n">
        <v>0.7724816626866384</v>
      </c>
      <c r="L3183" t="b">
        <v>0</v>
      </c>
      <c r="M3183" t="b">
        <v>0</v>
      </c>
      <c r="N3183" t="inlineStr">
        <is>
          <t>alt</t>
        </is>
      </c>
      <c r="O3183" t="n">
        <v>-100</v>
      </c>
      <c r="P3183" t="n">
        <v>0.1455</v>
      </c>
      <c r="Q3183" t="n">
        <v>-85</v>
      </c>
      <c r="R3183" t="n">
        <v>0.05188</v>
      </c>
      <c r="S3183">
        <f>IMAGE("https://mitra.stanford.edu/kundaje/oak/projects/neuro-variants/variant_position/credible/roussos_2024/variant_figures/roussos_2024.childhood.Astrocyte/rs1955154_count_position.png",4,220,900)</f>
        <v/>
      </c>
      <c r="T3183">
        <f>IMAGE("https://mitra.stanford.edu/kundaje/oak/projects/neuro-variants/variant_position/credible/roussos_2024/variant_figures/roussos_2024.childhood.Astrocyte/rs1955154_profile_position.png",4,220,900)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0.07102805479999991</v>
      </c>
      <c r="G3184" t="n">
        <v>0.1324695780686888</v>
      </c>
      <c r="H3184" t="n">
        <v>0.0343505232199249</v>
      </c>
      <c r="I3184" t="n">
        <v>0.0174153591641003</v>
      </c>
      <c r="J3184" t="n">
        <v>0.0007220657492004</v>
      </c>
      <c r="K3184" t="n">
        <v>0.9369446106600704</v>
      </c>
      <c r="L3184" t="b">
        <v>0</v>
      </c>
      <c r="M3184" t="b">
        <v>0</v>
      </c>
      <c r="N3184" t="inlineStr">
        <is>
          <t>alt</t>
        </is>
      </c>
      <c r="O3184" t="n">
        <v>-45</v>
      </c>
      <c r="P3184" t="n">
        <v>0.00966</v>
      </c>
      <c r="Q3184" t="n">
        <v>15</v>
      </c>
      <c r="R3184" t="n">
        <v>0.01984</v>
      </c>
      <c r="S3184">
        <f>IMAGE("https://mitra.stanford.edu/kundaje/oak/projects/neuro-variants/variant_position/credible/roussos_2024/variant_figures/roussos_2024.childhood.Astrocyte/rs1899932_count_position.png",4,220,900)</f>
        <v/>
      </c>
      <c r="T3184">
        <f>IMAGE("https://mitra.stanford.edu/kundaje/oak/projects/neuro-variants/variant_position/credible/roussos_2024/variant_figures/roussos_2024.childhood.Astrocyte/rs1899932_profile_position.png",4,220,900)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-0.1146146858</v>
      </c>
      <c r="G3185" t="n">
        <v>0.07705819502537881</v>
      </c>
      <c r="H3185" t="n">
        <v>0.021407748063691</v>
      </c>
      <c r="I3185" t="n">
        <v>0.101123932340708</v>
      </c>
      <c r="J3185" t="n">
        <v>0.0321983314632898</v>
      </c>
      <c r="K3185" t="n">
        <v>0.5414007946233909</v>
      </c>
      <c r="L3185" t="b">
        <v>0</v>
      </c>
      <c r="M3185" t="b">
        <v>0</v>
      </c>
      <c r="N3185" t="inlineStr">
        <is>
          <t>ref</t>
        </is>
      </c>
      <c r="O3185" t="n">
        <v>-80</v>
      </c>
      <c r="P3185" t="n">
        <v>0.000977</v>
      </c>
      <c r="Q3185" t="n">
        <v>-80</v>
      </c>
      <c r="R3185" t="n">
        <v>0.006836</v>
      </c>
      <c r="S3185">
        <f>IMAGE("https://mitra.stanford.edu/kundaje/oak/projects/neuro-variants/variant_position/credible/roussos_2024/variant_figures/roussos_2024.childhood.Astrocyte/rs1020356_count_position.png",4,220,900)</f>
        <v/>
      </c>
      <c r="T3185">
        <f>IMAGE("https://mitra.stanford.edu/kundaje/oak/projects/neuro-variants/variant_position/credible/roussos_2024/variant_figures/roussos_2024.childhood.Astrocyte/rs1020356_profile_position.png",4,220,900)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-0.00538225206</v>
      </c>
      <c r="G3186" t="n">
        <v>0.3617079821896402</v>
      </c>
      <c r="H3186" t="n">
        <v>0.0218763794934617</v>
      </c>
      <c r="I3186" t="n">
        <v>0.09620220113841139</v>
      </c>
      <c r="J3186" t="n">
        <v>0.0774503293566286</v>
      </c>
      <c r="K3186" t="n">
        <v>0.3733125841019937</v>
      </c>
      <c r="L3186" t="b">
        <v>0</v>
      </c>
      <c r="M3186" t="b">
        <v>0</v>
      </c>
      <c r="N3186" t="inlineStr">
        <is>
          <t>ref</t>
        </is>
      </c>
      <c r="O3186" t="n">
        <v>95</v>
      </c>
      <c r="P3186" t="n">
        <v>0.0296</v>
      </c>
      <c r="Q3186" t="n">
        <v>95</v>
      </c>
      <c r="R3186" t="n">
        <v>0.2864</v>
      </c>
      <c r="S3186">
        <f>IMAGE("https://mitra.stanford.edu/kundaje/oak/projects/neuro-variants/variant_position/credible/roussos_2024/variant_figures/roussos_2024.childhood.Astrocyte/rs116327309_count_position.png",4,220,900)</f>
        <v/>
      </c>
      <c r="T3186">
        <f>IMAGE("https://mitra.stanford.edu/kundaje/oak/projects/neuro-variants/variant_position/credible/roussos_2024/variant_figures/roussos_2024.childhood.Astrocyte/rs116327309_profile_position.png",4,220,900)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-0.0214527604</v>
      </c>
      <c r="G3187" t="n">
        <v>0.4982386462381287</v>
      </c>
      <c r="H3187" t="n">
        <v>0.0258976484982157</v>
      </c>
      <c r="I3187" t="n">
        <v>0.0524300697016819</v>
      </c>
      <c r="J3187" t="n">
        <v>0.0361269492340454</v>
      </c>
      <c r="K3187" t="n">
        <v>0.5079326545299188</v>
      </c>
      <c r="L3187" t="b">
        <v>0</v>
      </c>
      <c r="M3187" t="b">
        <v>0</v>
      </c>
      <c r="N3187" t="inlineStr">
        <is>
          <t>ref</t>
        </is>
      </c>
      <c r="O3187" t="n">
        <v>-100</v>
      </c>
      <c r="P3187" t="n">
        <v>0.02657</v>
      </c>
      <c r="Q3187" t="n">
        <v>-100</v>
      </c>
      <c r="R3187" t="n">
        <v>0.2292</v>
      </c>
      <c r="S3187">
        <f>IMAGE("https://mitra.stanford.edu/kundaje/oak/projects/neuro-variants/variant_position/credible/roussos_2024/variant_figures/roussos_2024.childhood.Astrocyte/rs17311826_count_position.png",4,220,900)</f>
        <v/>
      </c>
      <c r="T3187">
        <f>IMAGE("https://mitra.stanford.edu/kundaje/oak/projects/neuro-variants/variant_position/credible/roussos_2024/variant_figures/roussos_2024.childhood.Astrocyte/rs17311826_profile_position.png",4,220,900)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-0.07275502519999991</v>
      </c>
      <c r="G3188" t="n">
        <v>0.1382372193515479</v>
      </c>
      <c r="H3188" t="n">
        <v>0.0168060849982026</v>
      </c>
      <c r="I3188" t="n">
        <v>0.2236179106295392</v>
      </c>
      <c r="J3188" t="n">
        <v>0.0311327883492477</v>
      </c>
      <c r="K3188" t="n">
        <v>0.5465932420678111</v>
      </c>
      <c r="L3188" t="b">
        <v>0</v>
      </c>
      <c r="M3188" t="b">
        <v>0</v>
      </c>
      <c r="N3188" t="inlineStr">
        <is>
          <t>ref</t>
        </is>
      </c>
      <c r="O3188" t="n">
        <v>25</v>
      </c>
      <c r="P3188" t="n">
        <v>0.03156</v>
      </c>
      <c r="Q3188" t="n">
        <v>30</v>
      </c>
      <c r="R3188" t="n">
        <v>0.04102</v>
      </c>
      <c r="S3188">
        <f>IMAGE("https://mitra.stanford.edu/kundaje/oak/projects/neuro-variants/variant_position/credible/roussos_2024/variant_figures/roussos_2024.childhood.Astrocyte/rs7657567_count_position.png",4,220,900)</f>
        <v/>
      </c>
      <c r="T3188">
        <f>IMAGE("https://mitra.stanford.edu/kundaje/oak/projects/neuro-variants/variant_position/credible/roussos_2024/variant_figures/roussos_2024.childhood.Astrocyte/rs7657567_profile_position.png",4,220,900)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-0.0355500578</v>
      </c>
      <c r="G3189" t="n">
        <v>0.3263208276416359</v>
      </c>
      <c r="H3189" t="n">
        <v>0.0264440783942924</v>
      </c>
      <c r="I3189" t="n">
        <v>0.0474850376176124</v>
      </c>
      <c r="J3189" t="n">
        <v>0.0281880424080052</v>
      </c>
      <c r="K3189" t="n">
        <v>0.5353914981444521</v>
      </c>
      <c r="L3189" t="b">
        <v>0</v>
      </c>
      <c r="M3189" t="b">
        <v>0</v>
      </c>
      <c r="N3189" t="inlineStr">
        <is>
          <t>ref</t>
        </is>
      </c>
      <c r="O3189" t="n">
        <v>-60</v>
      </c>
      <c r="P3189" t="n">
        <v>0.0249</v>
      </c>
      <c r="Q3189" t="n">
        <v>-95</v>
      </c>
      <c r="R3189" t="n">
        <v>0.06604</v>
      </c>
      <c r="S3189">
        <f>IMAGE("https://mitra.stanford.edu/kundaje/oak/projects/neuro-variants/variant_position/credible/roussos_2024/variant_figures/roussos_2024.childhood.Astrocyte/rs13112591_count_position.png",4,220,900)</f>
        <v/>
      </c>
      <c r="T3189">
        <f>IMAGE("https://mitra.stanford.edu/kundaje/oak/projects/neuro-variants/variant_position/credible/roussos_2024/variant_figures/roussos_2024.childhood.Astrocyte/rs13112591_profile_position.png",4,220,900)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0.00295653586</v>
      </c>
      <c r="G3190" t="n">
        <v>0.6608191338665531</v>
      </c>
      <c r="H3190" t="n">
        <v>0.0091247701050974</v>
      </c>
      <c r="I3190" t="n">
        <v>0.769863535384626</v>
      </c>
      <c r="J3190" t="n">
        <v>0.2058276659568134</v>
      </c>
      <c r="K3190" t="n">
        <v>0.1956224792903425</v>
      </c>
      <c r="L3190" t="b">
        <v>0</v>
      </c>
      <c r="M3190" t="b">
        <v>0</v>
      </c>
      <c r="N3190" t="inlineStr">
        <is>
          <t>alt</t>
        </is>
      </c>
      <c r="O3190" t="n">
        <v>95</v>
      </c>
      <c r="P3190" t="n">
        <v>0.00654</v>
      </c>
      <c r="Q3190" t="n">
        <v>30</v>
      </c>
      <c r="R3190" t="n">
        <v>0.06519999999999999</v>
      </c>
      <c r="S3190">
        <f>IMAGE("https://mitra.stanford.edu/kundaje/oak/projects/neuro-variants/variant_position/credible/roussos_2024/variant_figures/roussos_2024.childhood.Astrocyte/rs4692712_count_position.png",4,220,900)</f>
        <v/>
      </c>
      <c r="T3190">
        <f>IMAGE("https://mitra.stanford.edu/kundaje/oak/projects/neuro-variants/variant_position/credible/roussos_2024/variant_figures/roussos_2024.childhood.Astrocyte/rs4692712_profile_position.png",4,220,900)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-0.064585926</v>
      </c>
      <c r="G3191" t="n">
        <v>0.1558771580748892</v>
      </c>
      <c r="H3191" t="n">
        <v>0.018203395924174</v>
      </c>
      <c r="I3191" t="n">
        <v>0.177546443786604</v>
      </c>
      <c r="J3191" t="n">
        <v>0.018359246792303</v>
      </c>
      <c r="K3191" t="n">
        <v>0.6131037419613545</v>
      </c>
      <c r="L3191" t="b">
        <v>0</v>
      </c>
      <c r="M3191" t="b">
        <v>0</v>
      </c>
      <c r="N3191" t="inlineStr">
        <is>
          <t>ref</t>
        </is>
      </c>
      <c r="O3191" t="n">
        <v>100</v>
      </c>
      <c r="P3191" t="n">
        <v>0.005226</v>
      </c>
      <c r="Q3191" t="n">
        <v>-15</v>
      </c>
      <c r="R3191" t="n">
        <v>0.08409999999999999</v>
      </c>
      <c r="S3191">
        <f>IMAGE("https://mitra.stanford.edu/kundaje/oak/projects/neuro-variants/variant_position/credible/roussos_2024/variant_figures/roussos_2024.childhood.Astrocyte/rs6839248_count_position.png",4,220,900)</f>
        <v/>
      </c>
      <c r="T3191">
        <f>IMAGE("https://mitra.stanford.edu/kundaje/oak/projects/neuro-variants/variant_position/credible/roussos_2024/variant_figures/roussos_2024.childhood.Astrocyte/rs6839248_profile_position.png",4,220,900)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0.0120310772</v>
      </c>
      <c r="G3192" t="n">
        <v>0.6778980422775757</v>
      </c>
      <c r="H3192" t="n">
        <v>0.0344617993783396</v>
      </c>
      <c r="I3192" t="n">
        <v>0.0177481983372611</v>
      </c>
      <c r="J3192" t="n">
        <v>0.0107683970293024</v>
      </c>
      <c r="K3192" t="n">
        <v>0.6794061510215932</v>
      </c>
      <c r="L3192" t="b">
        <v>1</v>
      </c>
      <c r="M3192" t="b">
        <v>0</v>
      </c>
      <c r="N3192" t="inlineStr">
        <is>
          <t>alt</t>
        </is>
      </c>
      <c r="O3192" t="n">
        <v>-5</v>
      </c>
      <c r="P3192" t="n">
        <v>0.000763</v>
      </c>
      <c r="Q3192" t="n">
        <v>100</v>
      </c>
      <c r="R3192" t="n">
        <v>0.1084</v>
      </c>
      <c r="S3192">
        <f>IMAGE("https://mitra.stanford.edu/kundaje/oak/projects/neuro-variants/variant_position/credible/roussos_2024/variant_figures/roussos_2024.childhood.Astrocyte/rs12641082_count_position.png",4,220,900)</f>
        <v/>
      </c>
      <c r="T3192">
        <f>IMAGE("https://mitra.stanford.edu/kundaje/oak/projects/neuro-variants/variant_position/credible/roussos_2024/variant_figures/roussos_2024.childhood.Astrocyte/rs12641082_profile_position.png",4,220,900)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-0.09267737199999999</v>
      </c>
      <c r="G3193" t="n">
        <v>0.0900798272254922</v>
      </c>
      <c r="H3193" t="n">
        <v>0.0198034587799412</v>
      </c>
      <c r="I3193" t="n">
        <v>0.1293197208622409</v>
      </c>
      <c r="J3193" t="n">
        <v>0.0021860426064588</v>
      </c>
      <c r="K3193" t="n">
        <v>0.8613464347998775</v>
      </c>
      <c r="L3193" t="b">
        <v>0</v>
      </c>
      <c r="M3193" t="b">
        <v>0</v>
      </c>
      <c r="N3193" t="inlineStr">
        <is>
          <t>ref</t>
        </is>
      </c>
      <c r="O3193" t="n">
        <v>-100</v>
      </c>
      <c r="P3193" t="n">
        <v>0.004707</v>
      </c>
      <c r="Q3193" t="n">
        <v>10</v>
      </c>
      <c r="R3193" t="n">
        <v>0.06</v>
      </c>
      <c r="S3193">
        <f>IMAGE("https://mitra.stanford.edu/kundaje/oak/projects/neuro-variants/variant_position/credible/roussos_2024/variant_figures/roussos_2024.childhood.Astrocyte/rs12500131_count_position.png",4,220,900)</f>
        <v/>
      </c>
      <c r="T3193">
        <f>IMAGE("https://mitra.stanford.edu/kundaje/oak/projects/neuro-variants/variant_position/credible/roussos_2024/variant_figures/roussos_2024.childhood.Astrocyte/rs12500131_profile_position.png",4,220,900)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-0.0007552397</v>
      </c>
      <c r="G3194" t="n">
        <v>0.7836111060644865</v>
      </c>
      <c r="H3194" t="n">
        <v>0.0299132487417666</v>
      </c>
      <c r="I3194" t="n">
        <v>0.0303992401471611</v>
      </c>
      <c r="J3194" t="n">
        <v>0.0073939227404913</v>
      </c>
      <c r="K3194" t="n">
        <v>0.7277360843147866</v>
      </c>
      <c r="L3194" t="b">
        <v>0</v>
      </c>
      <c r="M3194" t="b">
        <v>0</v>
      </c>
      <c r="N3194" t="inlineStr">
        <is>
          <t>ref</t>
        </is>
      </c>
      <c r="O3194" t="n">
        <v>85</v>
      </c>
      <c r="P3194" t="n">
        <v>0.02075</v>
      </c>
      <c r="Q3194" t="n">
        <v>-10</v>
      </c>
      <c r="R3194" t="n">
        <v>0.04657</v>
      </c>
      <c r="S3194">
        <f>IMAGE("https://mitra.stanford.edu/kundaje/oak/projects/neuro-variants/variant_position/credible/roussos_2024/variant_figures/roussos_2024.childhood.Astrocyte/rs6553440_count_position.png",4,220,900)</f>
        <v/>
      </c>
      <c r="T3194">
        <f>IMAGE("https://mitra.stanford.edu/kundaje/oak/projects/neuro-variants/variant_position/credible/roussos_2024/variant_figures/roussos_2024.childhood.Astrocyte/rs6553440_profile_position.png",4,220,900)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0.0157880884</v>
      </c>
      <c r="G3195" t="n">
        <v>0.4737458859586043</v>
      </c>
      <c r="H3195" t="n">
        <v>0.0213749459423641</v>
      </c>
      <c r="I3195" t="n">
        <v>0.1062717601416873</v>
      </c>
      <c r="J3195" t="n">
        <v>0.2374451390320044</v>
      </c>
      <c r="K3195" t="n">
        <v>0.1776769925091981</v>
      </c>
      <c r="L3195" t="b">
        <v>0</v>
      </c>
      <c r="M3195" t="b">
        <v>0</v>
      </c>
      <c r="N3195" t="inlineStr">
        <is>
          <t>alt</t>
        </is>
      </c>
      <c r="O3195" t="n">
        <v>25</v>
      </c>
      <c r="P3195" t="n">
        <v>0.004395</v>
      </c>
      <c r="Q3195" t="n">
        <v>-5</v>
      </c>
      <c r="R3195" t="n">
        <v>0.01282</v>
      </c>
      <c r="S3195">
        <f>IMAGE("https://mitra.stanford.edu/kundaje/oak/projects/neuro-variants/variant_position/credible/roussos_2024/variant_figures/roussos_2024.childhood.Astrocyte/rs75394761_count_position.png",4,220,900)</f>
        <v/>
      </c>
      <c r="T3195">
        <f>IMAGE("https://mitra.stanford.edu/kundaje/oak/projects/neuro-variants/variant_position/credible/roussos_2024/variant_figures/roussos_2024.childhood.Astrocyte/rs75394761_profile_position.png",4,220,900)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0.0583735222</v>
      </c>
      <c r="G3196" t="n">
        <v>0.176750965331488</v>
      </c>
      <c r="H3196" t="n">
        <v>0.0183376954576498</v>
      </c>
      <c r="I3196" t="n">
        <v>0.1721837692521793</v>
      </c>
      <c r="J3196" t="n">
        <v>0.0014876386312808</v>
      </c>
      <c r="K3196" t="n">
        <v>0.8760517529532131</v>
      </c>
      <c r="L3196" t="b">
        <v>0</v>
      </c>
      <c r="M3196" t="b">
        <v>0</v>
      </c>
      <c r="N3196" t="inlineStr">
        <is>
          <t>alt</t>
        </is>
      </c>
      <c r="O3196" t="n">
        <v>55</v>
      </c>
      <c r="P3196" t="n">
        <v>0.002888</v>
      </c>
      <c r="Q3196" t="n">
        <v>15</v>
      </c>
      <c r="R3196" t="n">
        <v>0.00476</v>
      </c>
      <c r="S3196">
        <f>IMAGE("https://mitra.stanford.edu/kundaje/oak/projects/neuro-variants/variant_position/credible/roussos_2024/variant_figures/roussos_2024.childhood.Astrocyte/rs4235024_count_position.png",4,220,900)</f>
        <v/>
      </c>
      <c r="T3196">
        <f>IMAGE("https://mitra.stanford.edu/kundaje/oak/projects/neuro-variants/variant_position/credible/roussos_2024/variant_figures/roussos_2024.childhood.Astrocyte/rs4235024_profile_position.png",4,220,900)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-0.02136734306</v>
      </c>
      <c r="G3197" t="n">
        <v>0.5327230582626765</v>
      </c>
      <c r="H3197" t="n">
        <v>0.0075206088350944</v>
      </c>
      <c r="I3197" t="n">
        <v>0.9379774450883064</v>
      </c>
      <c r="J3197" t="n">
        <v>0.0490920748322685</v>
      </c>
      <c r="K3197" t="n">
        <v>0.4725199940990642</v>
      </c>
      <c r="L3197" t="b">
        <v>0</v>
      </c>
      <c r="M3197" t="b">
        <v>0</v>
      </c>
      <c r="N3197" t="inlineStr">
        <is>
          <t>ref</t>
        </is>
      </c>
      <c r="O3197" t="n">
        <v>-100</v>
      </c>
      <c r="P3197" t="n">
        <v>0.03183</v>
      </c>
      <c r="Q3197" t="n">
        <v>-100</v>
      </c>
      <c r="R3197" t="n">
        <v>0.3904</v>
      </c>
      <c r="S3197">
        <f>IMAGE("https://mitra.stanford.edu/kundaje/oak/projects/neuro-variants/variant_position/credible/roussos_2024/variant_figures/roussos_2024.childhood.Astrocyte/rs4692574_count_position.png",4,220,900)</f>
        <v/>
      </c>
      <c r="T3197">
        <f>IMAGE("https://mitra.stanford.edu/kundaje/oak/projects/neuro-variants/variant_position/credible/roussos_2024/variant_figures/roussos_2024.childhood.Astrocyte/rs4692574_profile_position.png",4,220,900)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0.113306564</v>
      </c>
      <c r="G3198" t="n">
        <v>0.0602333327508372</v>
      </c>
      <c r="H3198" t="n">
        <v>0.0294522301659444</v>
      </c>
      <c r="I3198" t="n">
        <v>0.0318217412059819</v>
      </c>
      <c r="J3198" t="n">
        <v>0.1490607802279162</v>
      </c>
      <c r="K3198" t="n">
        <v>0.2592637182090013</v>
      </c>
      <c r="L3198" t="b">
        <v>0</v>
      </c>
      <c r="M3198" t="b">
        <v>0</v>
      </c>
      <c r="N3198" t="inlineStr">
        <is>
          <t>alt</t>
        </is>
      </c>
      <c r="O3198" t="n">
        <v>100</v>
      </c>
      <c r="P3198" t="n">
        <v>0.03046</v>
      </c>
      <c r="Q3198" t="n">
        <v>-50</v>
      </c>
      <c r="R3198" t="n">
        <v>0.0421</v>
      </c>
      <c r="S3198">
        <f>IMAGE("https://mitra.stanford.edu/kundaje/oak/projects/neuro-variants/variant_position/credible/roussos_2024/variant_figures/roussos_2024.childhood.Astrocyte/rs115477840_count_position.png",4,220,900)</f>
        <v/>
      </c>
      <c r="T3198">
        <f>IMAGE("https://mitra.stanford.edu/kundaje/oak/projects/neuro-variants/variant_position/credible/roussos_2024/variant_figures/roussos_2024.childhood.Astrocyte/rs115477840_profile_position.png",4,220,900)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0.01314250596</v>
      </c>
      <c r="G3199" t="n">
        <v>0.6235581236528192</v>
      </c>
      <c r="H3199" t="n">
        <v>0.026681204793899</v>
      </c>
      <c r="I3199" t="n">
        <v>0.0463336340645251</v>
      </c>
      <c r="J3199" t="n">
        <v>0.008552586384557199</v>
      </c>
      <c r="K3199" t="n">
        <v>0.707821634068989</v>
      </c>
      <c r="L3199" t="b">
        <v>0</v>
      </c>
      <c r="M3199" t="b">
        <v>0</v>
      </c>
      <c r="N3199" t="inlineStr">
        <is>
          <t>alt</t>
        </is>
      </c>
      <c r="O3199" t="n">
        <v>55</v>
      </c>
      <c r="P3199" t="n">
        <v>0.009639999999999999</v>
      </c>
      <c r="Q3199" t="n">
        <v>10</v>
      </c>
      <c r="R3199" t="n">
        <v>0.00476</v>
      </c>
      <c r="S3199">
        <f>IMAGE("https://mitra.stanford.edu/kundaje/oak/projects/neuro-variants/variant_position/credible/roussos_2024/variant_figures/roussos_2024.childhood.Astrocyte/rs6823311_count_position.png",4,220,900)</f>
        <v/>
      </c>
      <c r="T3199">
        <f>IMAGE("https://mitra.stanford.edu/kundaje/oak/projects/neuro-variants/variant_position/credible/roussos_2024/variant_figures/roussos_2024.childhood.Astrocyte/rs6823311_profile_position.png",4,220,900)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-0.0798636477999999</v>
      </c>
      <c r="G3200" t="n">
        <v>0.1069024582558789</v>
      </c>
      <c r="H3200" t="n">
        <v>0.0131088328283247</v>
      </c>
      <c r="I3200" t="n">
        <v>0.4241323267387604</v>
      </c>
      <c r="J3200" t="n">
        <v>0.0544900124415133</v>
      </c>
      <c r="K3200" t="n">
        <v>0.432266182015399</v>
      </c>
      <c r="L3200" t="b">
        <v>0</v>
      </c>
      <c r="M3200" t="b">
        <v>0</v>
      </c>
      <c r="N3200" t="inlineStr">
        <is>
          <t>ref</t>
        </is>
      </c>
      <c r="O3200" t="n">
        <v>-65</v>
      </c>
      <c r="P3200" t="n">
        <v>0.0003967</v>
      </c>
      <c r="Q3200" t="n">
        <v>90</v>
      </c>
      <c r="R3200" t="n">
        <v>0.10767</v>
      </c>
      <c r="S3200">
        <f>IMAGE("https://mitra.stanford.edu/kundaje/oak/projects/neuro-variants/variant_position/credible/roussos_2024/variant_figures/roussos_2024.childhood.Astrocyte/rs6850446_count_position.png",4,220,900)</f>
        <v/>
      </c>
      <c r="T3200">
        <f>IMAGE("https://mitra.stanford.edu/kundaje/oak/projects/neuro-variants/variant_position/credible/roussos_2024/variant_figures/roussos_2024.childhood.Astrocyte/rs6850446_profile_position.png",4,220,900)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0.0148603024</v>
      </c>
      <c r="G3201" t="n">
        <v>0.6023357410107261</v>
      </c>
      <c r="H3201" t="n">
        <v>0.0209382621085314</v>
      </c>
      <c r="I3201" t="n">
        <v>0.1079224021982345</v>
      </c>
      <c r="J3201" t="n">
        <v>0.0007884713730697</v>
      </c>
      <c r="K3201" t="n">
        <v>0.9165845886603364</v>
      </c>
      <c r="L3201" t="b">
        <v>0</v>
      </c>
      <c r="M3201" t="b">
        <v>0</v>
      </c>
      <c r="N3201" t="inlineStr">
        <is>
          <t>alt</t>
        </is>
      </c>
      <c r="O3201" t="n">
        <v>85</v>
      </c>
      <c r="P3201" t="n">
        <v>0.002731</v>
      </c>
      <c r="Q3201" t="n">
        <v>100</v>
      </c>
      <c r="R3201" t="n">
        <v>0.07389999999999999</v>
      </c>
      <c r="S3201">
        <f>IMAGE("https://mitra.stanford.edu/kundaje/oak/projects/neuro-variants/variant_position/credible/roussos_2024/variant_figures/roussos_2024.childhood.Astrocyte/rs1027407_count_position.png",4,220,900)</f>
        <v/>
      </c>
      <c r="T3201">
        <f>IMAGE("https://mitra.stanford.edu/kundaje/oak/projects/neuro-variants/variant_position/credible/roussos_2024/variant_figures/roussos_2024.childhood.Astrocyte/rs1027407_profile_position.png",4,220,900)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0.00706008558</v>
      </c>
      <c r="G3202" t="n">
        <v>0.7012176028775268</v>
      </c>
      <c r="H3202" t="n">
        <v>0.0265613150794718</v>
      </c>
      <c r="I3202" t="n">
        <v>0.0476645099497933</v>
      </c>
      <c r="J3202" t="n">
        <v>0.002834833184493</v>
      </c>
      <c r="K3202" t="n">
        <v>0.8369930519517225</v>
      </c>
      <c r="L3202" t="b">
        <v>0</v>
      </c>
      <c r="M3202" t="b">
        <v>0</v>
      </c>
      <c r="N3202" t="inlineStr">
        <is>
          <t>alt</t>
        </is>
      </c>
      <c r="O3202" t="n">
        <v>-25</v>
      </c>
      <c r="P3202" t="n">
        <v>0.0001464</v>
      </c>
      <c r="Q3202" t="n">
        <v>-100</v>
      </c>
      <c r="R3202" t="n">
        <v>0.0606</v>
      </c>
      <c r="S3202">
        <f>IMAGE("https://mitra.stanford.edu/kundaje/oak/projects/neuro-variants/variant_position/credible/roussos_2024/variant_figures/roussos_2024.childhood.Astrocyte/rs28376387_count_position.png",4,220,900)</f>
        <v/>
      </c>
      <c r="T3202">
        <f>IMAGE("https://mitra.stanford.edu/kundaje/oak/projects/neuro-variants/variant_position/credible/roussos_2024/variant_figures/roussos_2024.childhood.Astrocyte/rs28376387_profile_position.png",4,220,900)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-0.139863706</v>
      </c>
      <c r="G3203" t="n">
        <v>0.0457171253961476</v>
      </c>
      <c r="H3203" t="n">
        <v>0.0245259626520306</v>
      </c>
      <c r="I3203" t="n">
        <v>0.0785030217805406</v>
      </c>
      <c r="J3203" t="n">
        <v>0.0752871852411592</v>
      </c>
      <c r="K3203" t="n">
        <v>0.3781635127405567</v>
      </c>
      <c r="L3203" t="b">
        <v>0</v>
      </c>
      <c r="M3203" t="b">
        <v>0</v>
      </c>
      <c r="N3203" t="inlineStr">
        <is>
          <t>ref</t>
        </is>
      </c>
      <c r="O3203" t="n">
        <v>20</v>
      </c>
      <c r="P3203" t="n">
        <v>0.00357</v>
      </c>
      <c r="Q3203" t="n">
        <v>45</v>
      </c>
      <c r="R3203" t="n">
        <v>0.07245</v>
      </c>
      <c r="S3203">
        <f>IMAGE("https://mitra.stanford.edu/kundaje/oak/projects/neuro-variants/variant_position/credible/roussos_2024/variant_figures/roussos_2024.childhood.Astrocyte/rs17062106_count_position.png",4,220,900)</f>
        <v/>
      </c>
      <c r="T3203">
        <f>IMAGE("https://mitra.stanford.edu/kundaje/oak/projects/neuro-variants/variant_position/credible/roussos_2024/variant_figures/roussos_2024.childhood.Astrocyte/rs17062106_profile_position.png",4,220,900)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-0.0435335914</v>
      </c>
      <c r="G3204" t="n">
        <v>0.2805902440914508</v>
      </c>
      <c r="H3204" t="n">
        <v>0.0182071308645868</v>
      </c>
      <c r="I3204" t="n">
        <v>0.1697751593190878</v>
      </c>
      <c r="J3204" t="n">
        <v>0.0102165433964567</v>
      </c>
      <c r="K3204" t="n">
        <v>0.6864435717700041</v>
      </c>
      <c r="L3204" t="b">
        <v>0</v>
      </c>
      <c r="M3204" t="b">
        <v>0</v>
      </c>
      <c r="N3204" t="inlineStr">
        <is>
          <t>ref</t>
        </is>
      </c>
      <c r="O3204" t="n">
        <v>70</v>
      </c>
      <c r="P3204" t="n">
        <v>0.0112</v>
      </c>
      <c r="Q3204" t="n">
        <v>-100</v>
      </c>
      <c r="R3204" t="n">
        <v>0.08264000000000001</v>
      </c>
      <c r="S3204">
        <f>IMAGE("https://mitra.stanford.edu/kundaje/oak/projects/neuro-variants/variant_position/credible/roussos_2024/variant_figures/roussos_2024.childhood.Astrocyte/rs62334820_count_position.png",4,220,900)</f>
        <v/>
      </c>
      <c r="T3204">
        <f>IMAGE("https://mitra.stanford.edu/kundaje/oak/projects/neuro-variants/variant_position/credible/roussos_2024/variant_figures/roussos_2024.childhood.Astrocyte/rs62334820_profile_position.png",4,220,900)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-0.0196778088</v>
      </c>
      <c r="G3205" t="n">
        <v>0.5369601756776439</v>
      </c>
      <c r="H3205" t="n">
        <v>0.0063782224685463</v>
      </c>
      <c r="I3205" t="n">
        <v>0.977177096228954</v>
      </c>
      <c r="J3205" t="n">
        <v>0.0019868257348506</v>
      </c>
      <c r="K3205" t="n">
        <v>0.8637995385443414</v>
      </c>
      <c r="L3205" t="b">
        <v>0</v>
      </c>
      <c r="M3205" t="b">
        <v>0</v>
      </c>
      <c r="N3205" t="inlineStr">
        <is>
          <t>ref</t>
        </is>
      </c>
      <c r="O3205" t="n">
        <v>100</v>
      </c>
      <c r="P3205" t="n">
        <v>0.015335</v>
      </c>
      <c r="Q3205" t="n">
        <v>5</v>
      </c>
      <c r="R3205" t="n">
        <v>0.003784</v>
      </c>
      <c r="S3205">
        <f>IMAGE("https://mitra.stanford.edu/kundaje/oak/projects/neuro-variants/variant_position/credible/roussos_2024/variant_figures/roussos_2024.childhood.Astrocyte/rs12501338_count_position.png",4,220,900)</f>
        <v/>
      </c>
      <c r="T3205">
        <f>IMAGE("https://mitra.stanford.edu/kundaje/oak/projects/neuro-variants/variant_position/credible/roussos_2024/variant_figures/roussos_2024.childhood.Astrocyte/rs12501338_profile_position.png",4,220,900)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0.02263697546</v>
      </c>
      <c r="G3206" t="n">
        <v>0.4683910982966095</v>
      </c>
      <c r="H3206" t="n">
        <v>0.0283104184462576</v>
      </c>
      <c r="I3206" t="n">
        <v>0.0367994828657152</v>
      </c>
      <c r="J3206" t="n">
        <v>0.0008144229961911</v>
      </c>
      <c r="K3206" t="n">
        <v>0.9195693884966396</v>
      </c>
      <c r="L3206" t="b">
        <v>0</v>
      </c>
      <c r="M3206" t="b">
        <v>0</v>
      </c>
      <c r="N3206" t="inlineStr">
        <is>
          <t>alt</t>
        </is>
      </c>
      <c r="O3206" t="n">
        <v>65</v>
      </c>
      <c r="P3206" t="n">
        <v>0.0349</v>
      </c>
      <c r="Q3206" t="n">
        <v>55</v>
      </c>
      <c r="R3206" t="n">
        <v>0.05957</v>
      </c>
      <c r="S3206">
        <f>IMAGE("https://mitra.stanford.edu/kundaje/oak/projects/neuro-variants/variant_position/credible/roussos_2024/variant_figures/roussos_2024.childhood.Astrocyte/rs55875929_count_position.png",4,220,900)</f>
        <v/>
      </c>
      <c r="T3206">
        <f>IMAGE("https://mitra.stanford.edu/kundaje/oak/projects/neuro-variants/variant_position/credible/roussos_2024/variant_figures/roussos_2024.childhood.Astrocyte/rs55875929_profile_position.png",4,220,900)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0.0016894483199999</v>
      </c>
      <c r="G3207" t="n">
        <v>0.9269548994779624</v>
      </c>
      <c r="H3207" t="n">
        <v>0.0093285459835335</v>
      </c>
      <c r="I3207" t="n">
        <v>0.7757853174927624</v>
      </c>
      <c r="J3207" t="n">
        <v>0.0004167525360078</v>
      </c>
      <c r="K3207" t="n">
        <v>0.9437645171741522</v>
      </c>
      <c r="L3207" t="b">
        <v>0</v>
      </c>
      <c r="M3207" t="b">
        <v>0</v>
      </c>
      <c r="N3207" t="inlineStr">
        <is>
          <t>alt</t>
        </is>
      </c>
      <c r="O3207" t="n">
        <v>-70</v>
      </c>
      <c r="P3207" t="n">
        <v>0.02998</v>
      </c>
      <c r="Q3207" t="n">
        <v>-80</v>
      </c>
      <c r="R3207" t="n">
        <v>0.1312</v>
      </c>
      <c r="S3207">
        <f>IMAGE("https://mitra.stanford.edu/kundaje/oak/projects/neuro-variants/variant_position/credible/roussos_2024/variant_figures/roussos_2024.childhood.Astrocyte/rs55903810_count_position.png",4,220,900)</f>
        <v/>
      </c>
      <c r="T3207">
        <f>IMAGE("https://mitra.stanford.edu/kundaje/oak/projects/neuro-variants/variant_position/credible/roussos_2024/variant_figures/roussos_2024.childhood.Astrocyte/rs55903810_profile_position.png",4,220,900)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0.060259558</v>
      </c>
      <c r="G3208" t="n">
        <v>0.1609401280164902</v>
      </c>
      <c r="H3208" t="n">
        <v>0.0175212269201613</v>
      </c>
      <c r="I3208" t="n">
        <v>0.18825958266465</v>
      </c>
      <c r="J3208" t="n">
        <v>0.010660010838619</v>
      </c>
      <c r="K3208" t="n">
        <v>0.6813002909987836</v>
      </c>
      <c r="L3208" t="b">
        <v>0</v>
      </c>
      <c r="M3208" t="b">
        <v>0</v>
      </c>
      <c r="N3208" t="inlineStr">
        <is>
          <t>alt</t>
        </is>
      </c>
      <c r="O3208" t="n">
        <v>15</v>
      </c>
      <c r="P3208" t="n">
        <v>0.002144</v>
      </c>
      <c r="Q3208" t="n">
        <v>45</v>
      </c>
      <c r="R3208" t="n">
        <v>0.04376</v>
      </c>
      <c r="S3208">
        <f>IMAGE("https://mitra.stanford.edu/kundaje/oak/projects/neuro-variants/variant_position/credible/roussos_2024/variant_figures/roussos_2024.childhood.Astrocyte/rs17324506_count_position.png",4,220,900)</f>
        <v/>
      </c>
      <c r="T3208">
        <f>IMAGE("https://mitra.stanford.edu/kundaje/oak/projects/neuro-variants/variant_position/credible/roussos_2024/variant_figures/roussos_2024.childhood.Astrocyte/rs17324506_profile_position.png",4,220,900)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0.0403815166</v>
      </c>
      <c r="G3209" t="n">
        <v>0.2823375345531883</v>
      </c>
      <c r="H3209" t="n">
        <v>0.0129845289200277</v>
      </c>
      <c r="I3209" t="n">
        <v>0.4237819920379508</v>
      </c>
      <c r="J3209" t="n">
        <v>0.0577347286147175</v>
      </c>
      <c r="K3209" t="n">
        <v>0.4183449273488095</v>
      </c>
      <c r="L3209" t="b">
        <v>0</v>
      </c>
      <c r="M3209" t="b">
        <v>0</v>
      </c>
      <c r="N3209" t="inlineStr">
        <is>
          <t>alt</t>
        </is>
      </c>
      <c r="O3209" t="n">
        <v>75</v>
      </c>
      <c r="P3209" t="n">
        <v>0.002068</v>
      </c>
      <c r="Q3209" t="n">
        <v>-100</v>
      </c>
      <c r="R3209" t="n">
        <v>0.04553</v>
      </c>
      <c r="S3209">
        <f>IMAGE("https://mitra.stanford.edu/kundaje/oak/projects/neuro-variants/variant_position/credible/roussos_2024/variant_figures/roussos_2024.childhood.Astrocyte/rs28753071_count_position.png",4,220,900)</f>
        <v/>
      </c>
      <c r="T3209">
        <f>IMAGE("https://mitra.stanford.edu/kundaje/oak/projects/neuro-variants/variant_position/credible/roussos_2024/variant_figures/roussos_2024.childhood.Astrocyte/rs28753071_profile_position.png",4,220,900)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-0.1243014367999999</v>
      </c>
      <c r="G3210" t="n">
        <v>0.0479712322913893</v>
      </c>
      <c r="H3210" t="n">
        <v>0.0268863073217676</v>
      </c>
      <c r="I3210" t="n">
        <v>0.0457938287839048</v>
      </c>
      <c r="J3210" t="n">
        <v>0.007892346561028199</v>
      </c>
      <c r="K3210" t="n">
        <v>0.7372998469513531</v>
      </c>
      <c r="L3210" t="b">
        <v>0</v>
      </c>
      <c r="M3210" t="b">
        <v>0</v>
      </c>
      <c r="N3210" t="inlineStr">
        <is>
          <t>ref</t>
        </is>
      </c>
      <c r="O3210" t="n">
        <v>-75</v>
      </c>
      <c r="P3210" t="n">
        <v>0.003632</v>
      </c>
      <c r="Q3210" t="n">
        <v>-75</v>
      </c>
      <c r="R3210" t="n">
        <v>0.0698</v>
      </c>
      <c r="S3210">
        <f>IMAGE("https://mitra.stanford.edu/kundaje/oak/projects/neuro-variants/variant_position/credible/roussos_2024/variant_figures/roussos_2024.childhood.Astrocyte/rs7694547_count_position.png",4,220,900)</f>
        <v/>
      </c>
      <c r="T3210">
        <f>IMAGE("https://mitra.stanford.edu/kundaje/oak/projects/neuro-variants/variant_position/credible/roussos_2024/variant_figures/roussos_2024.childhood.Astrocyte/rs7694547_profile_position.png",4,220,900)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0.01698927564</v>
      </c>
      <c r="G3211" t="n">
        <v>0.5708532557287475</v>
      </c>
      <c r="H3211" t="n">
        <v>0.0079193020619884</v>
      </c>
      <c r="I3211" t="n">
        <v>0.9061174292039637</v>
      </c>
      <c r="J3211" t="n">
        <v>0.009299840473846001</v>
      </c>
      <c r="K3211" t="n">
        <v>0.7023757662731936</v>
      </c>
      <c r="L3211" t="b">
        <v>0</v>
      </c>
      <c r="M3211" t="b">
        <v>0</v>
      </c>
      <c r="N3211" t="inlineStr">
        <is>
          <t>alt</t>
        </is>
      </c>
      <c r="O3211" t="n">
        <v>50</v>
      </c>
      <c r="P3211" t="n">
        <v>0.01403</v>
      </c>
      <c r="Q3211" t="n">
        <v>100</v>
      </c>
      <c r="R3211" t="n">
        <v>0.1207</v>
      </c>
      <c r="S3211">
        <f>IMAGE("https://mitra.stanford.edu/kundaje/oak/projects/neuro-variants/variant_position/credible/roussos_2024/variant_figures/roussos_2024.childhood.Astrocyte/rs12501438_count_position.png",4,220,900)</f>
        <v/>
      </c>
      <c r="T3211">
        <f>IMAGE("https://mitra.stanford.edu/kundaje/oak/projects/neuro-variants/variant_position/credible/roussos_2024/variant_figures/roussos_2024.childhood.Astrocyte/rs12501438_profile_position.png",4,220,900)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-0.23566123</v>
      </c>
      <c r="G3212" t="n">
        <v>0.0118365724827301</v>
      </c>
      <c r="H3212" t="n">
        <v>0.0321259719736744</v>
      </c>
      <c r="I3212" t="n">
        <v>0.0235262345731991</v>
      </c>
      <c r="J3212" t="n">
        <v>0.09515162617450169</v>
      </c>
      <c r="K3212" t="n">
        <v>0.3339580910454001</v>
      </c>
      <c r="L3212" t="b">
        <v>1</v>
      </c>
      <c r="M3212" t="b">
        <v>0</v>
      </c>
      <c r="N3212" t="inlineStr">
        <is>
          <t>ref</t>
        </is>
      </c>
      <c r="O3212" t="n">
        <v>-80</v>
      </c>
      <c r="P3212" t="n">
        <v>0.02322</v>
      </c>
      <c r="Q3212" t="n">
        <v>-80</v>
      </c>
      <c r="R3212" t="n">
        <v>0.0332</v>
      </c>
      <c r="S3212">
        <f>IMAGE("https://mitra.stanford.edu/kundaje/oak/projects/neuro-variants/variant_position/credible/roussos_2024/variant_figures/roussos_2024.childhood.Astrocyte/rs35751669_count_position.png",4,220,900)</f>
        <v/>
      </c>
      <c r="T3212">
        <f>IMAGE("https://mitra.stanford.edu/kundaje/oak/projects/neuro-variants/variant_position/credible/roussos_2024/variant_figures/roussos_2024.childhood.Astrocyte/rs35751669_profile_position.png",4,220,900)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0.09732262</v>
      </c>
      <c r="G3213" t="n">
        <v>0.0752515179321947</v>
      </c>
      <c r="H3213" t="n">
        <v>0.0179197089773692</v>
      </c>
      <c r="I3213" t="n">
        <v>0.1911748263299968</v>
      </c>
      <c r="J3213" t="n">
        <v>0.2665330921358949</v>
      </c>
      <c r="K3213" t="n">
        <v>0.1521226830726276</v>
      </c>
      <c r="L3213" t="b">
        <v>0</v>
      </c>
      <c r="M3213" t="b">
        <v>0</v>
      </c>
      <c r="N3213" t="inlineStr">
        <is>
          <t>alt</t>
        </is>
      </c>
      <c r="O3213" t="n">
        <v>-75</v>
      </c>
      <c r="P3213" t="n">
        <v>0.02081</v>
      </c>
      <c r="Q3213" t="n">
        <v>-100</v>
      </c>
      <c r="R3213" t="n">
        <v>0.11597</v>
      </c>
      <c r="S3213">
        <f>IMAGE("https://mitra.stanford.edu/kundaje/oak/projects/neuro-variants/variant_position/credible/roussos_2024/variant_figures/roussos_2024.childhood.Astrocyte/rs10462767_count_position.png",4,220,900)</f>
        <v/>
      </c>
      <c r="T3213">
        <f>IMAGE("https://mitra.stanford.edu/kundaje/oak/projects/neuro-variants/variant_position/credible/roussos_2024/variant_figures/roussos_2024.childhood.Astrocyte/rs10462767_profile_position.png",4,220,900)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0.0497300052399999</v>
      </c>
      <c r="G3214" t="n">
        <v>0.1980958324724611</v>
      </c>
      <c r="H3214" t="n">
        <v>0.0282433539456334</v>
      </c>
      <c r="I3214" t="n">
        <v>0.0473906761887851</v>
      </c>
      <c r="J3214" t="n">
        <v>0.2164571454741132</v>
      </c>
      <c r="K3214" t="n">
        <v>0.189175862667947</v>
      </c>
      <c r="L3214" t="b">
        <v>0</v>
      </c>
      <c r="M3214" t="b">
        <v>0</v>
      </c>
      <c r="N3214" t="inlineStr">
        <is>
          <t>alt</t>
        </is>
      </c>
      <c r="O3214" t="n">
        <v>-100</v>
      </c>
      <c r="P3214" t="n">
        <v>0.1365</v>
      </c>
      <c r="Q3214" t="n">
        <v>-60</v>
      </c>
      <c r="R3214" t="n">
        <v>0.4521</v>
      </c>
      <c r="S3214">
        <f>IMAGE("https://mitra.stanford.edu/kundaje/oak/projects/neuro-variants/variant_position/credible/roussos_2024/variant_figures/roussos_2024.childhood.Astrocyte/rs13170639_count_position.png",4,220,900)</f>
        <v/>
      </c>
      <c r="T3214">
        <f>IMAGE("https://mitra.stanford.edu/kundaje/oak/projects/neuro-variants/variant_position/credible/roussos_2024/variant_figures/roussos_2024.childhood.Astrocyte/rs13170639_profile_position.png",4,220,900)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-0.0475663972</v>
      </c>
      <c r="G3215" t="n">
        <v>0.233959566032173</v>
      </c>
      <c r="H3215" t="n">
        <v>0.0142634981048581</v>
      </c>
      <c r="I3215" t="n">
        <v>0.3485396921196758</v>
      </c>
      <c r="J3215" t="n">
        <v>0.0422591651210184</v>
      </c>
      <c r="K3215" t="n">
        <v>0.49285568140764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0.01451</v>
      </c>
      <c r="Q3215" t="n">
        <v>-50</v>
      </c>
      <c r="R3215" t="n">
        <v>0.09955</v>
      </c>
      <c r="S3215">
        <f>IMAGE("https://mitra.stanford.edu/kundaje/oak/projects/neuro-variants/variant_position/credible/roussos_2024/variant_figures/roussos_2024.childhood.Astrocyte/rs35533030_count_position.png",4,220,900)</f>
        <v/>
      </c>
      <c r="T3215">
        <f>IMAGE("https://mitra.stanford.edu/kundaje/oak/projects/neuro-variants/variant_position/credible/roussos_2024/variant_figures/roussos_2024.childhood.Astrocyte/rs35533030_profile_position.png",4,220,900)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-0.0174610536</v>
      </c>
      <c r="G3216" t="n">
        <v>0.5744389873088814</v>
      </c>
      <c r="H3216" t="n">
        <v>0.0086408974118876</v>
      </c>
      <c r="I3216" t="n">
        <v>0.8464092959671344</v>
      </c>
      <c r="J3216" t="n">
        <v>0.0001297581156068</v>
      </c>
      <c r="K3216" t="n">
        <v>0.9840462465996144</v>
      </c>
      <c r="L3216" t="b">
        <v>0</v>
      </c>
      <c r="M3216" t="b">
        <v>0</v>
      </c>
      <c r="N3216" t="inlineStr">
        <is>
          <t>ref</t>
        </is>
      </c>
      <c r="O3216" t="n">
        <v>100</v>
      </c>
      <c r="P3216" t="n">
        <v>0.2079</v>
      </c>
      <c r="Q3216" t="n">
        <v>100</v>
      </c>
      <c r="R3216" t="n">
        <v>0.2059</v>
      </c>
      <c r="S3216">
        <f>IMAGE("https://mitra.stanford.edu/kundaje/oak/projects/neuro-variants/variant_position/credible/roussos_2024/variant_figures/roussos_2024.childhood.Astrocyte/rs6885115_count_position.png",4,220,900)</f>
        <v/>
      </c>
      <c r="T3216">
        <f>IMAGE("https://mitra.stanford.edu/kundaje/oak/projects/neuro-variants/variant_position/credible/roussos_2024/variant_figures/roussos_2024.childhood.Astrocyte/rs6885115_profile_position.png",4,220,900)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-0.0805080769999999</v>
      </c>
      <c r="G3217" t="n">
        <v>0.1596433959815888</v>
      </c>
      <c r="H3217" t="n">
        <v>0.018746005868599</v>
      </c>
      <c r="I3217" t="n">
        <v>0.1561081547412515</v>
      </c>
      <c r="J3217" t="n">
        <v>0.2407425217344843</v>
      </c>
      <c r="K3217" t="n">
        <v>0.1689358911052214</v>
      </c>
      <c r="L3217" t="b">
        <v>0</v>
      </c>
      <c r="M3217" t="b">
        <v>0</v>
      </c>
      <c r="N3217" t="inlineStr">
        <is>
          <t>ref</t>
        </is>
      </c>
      <c r="O3217" t="n">
        <v>-85</v>
      </c>
      <c r="P3217" t="n">
        <v>0.02385</v>
      </c>
      <c r="Q3217" t="n">
        <v>35</v>
      </c>
      <c r="R3217" t="n">
        <v>0.1011</v>
      </c>
      <c r="S3217">
        <f>IMAGE("https://mitra.stanford.edu/kundaje/oak/projects/neuro-variants/variant_position/credible/roussos_2024/variant_figures/roussos_2024.childhood.Astrocyte/rs12514566_count_position.png",4,220,900)</f>
        <v/>
      </c>
      <c r="T3217">
        <f>IMAGE("https://mitra.stanford.edu/kundaje/oak/projects/neuro-variants/variant_position/credible/roussos_2024/variant_figures/roussos_2024.childhood.Astrocyte/rs12514566_profile_position.png",4,220,900)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-0.0447119556</v>
      </c>
      <c r="G3218" t="n">
        <v>0.2546235867369107</v>
      </c>
      <c r="H3218" t="n">
        <v>0.0115218253074104</v>
      </c>
      <c r="I3218" t="n">
        <v>0.5623344102564071</v>
      </c>
      <c r="J3218" t="n">
        <v>0.0003129460435223</v>
      </c>
      <c r="K3218" t="n">
        <v>0.959345454936766</v>
      </c>
      <c r="L3218" t="b">
        <v>0</v>
      </c>
      <c r="M3218" t="b">
        <v>0</v>
      </c>
      <c r="N3218" t="inlineStr">
        <is>
          <t>ref</t>
        </is>
      </c>
      <c r="O3218" t="n">
        <v>65</v>
      </c>
      <c r="P3218" t="n">
        <v>0.009090000000000001</v>
      </c>
      <c r="Q3218" t="n">
        <v>5</v>
      </c>
      <c r="R3218" t="n">
        <v>0.007446</v>
      </c>
      <c r="S3218">
        <f>IMAGE("https://mitra.stanford.edu/kundaje/oak/projects/neuro-variants/variant_position/credible/roussos_2024/variant_figures/roussos_2024.childhood.Astrocyte/rs2680786_count_position.png",4,220,900)</f>
        <v/>
      </c>
      <c r="T3218">
        <f>IMAGE("https://mitra.stanford.edu/kundaje/oak/projects/neuro-variants/variant_position/credible/roussos_2024/variant_figures/roussos_2024.childhood.Astrocyte/rs2680786_profile_position.png",4,220,900)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0.01281938702</v>
      </c>
      <c r="G3219" t="n">
        <v>0.6169467068189863</v>
      </c>
      <c r="H3219" t="n">
        <v>0.0130383946836153</v>
      </c>
      <c r="I3219" t="n">
        <v>0.421809201274636</v>
      </c>
      <c r="J3219" t="n">
        <v>0.0986703609565462</v>
      </c>
      <c r="K3219" t="n">
        <v>0.3241055426190984</v>
      </c>
      <c r="L3219" t="b">
        <v>0</v>
      </c>
      <c r="M3219" t="b">
        <v>0</v>
      </c>
      <c r="N3219" t="inlineStr">
        <is>
          <t>alt</t>
        </is>
      </c>
      <c r="O3219" t="n">
        <v>55</v>
      </c>
      <c r="P3219" t="n">
        <v>0.00718</v>
      </c>
      <c r="Q3219" t="n">
        <v>10</v>
      </c>
      <c r="R3219" t="n">
        <v>0.042</v>
      </c>
      <c r="S3219">
        <f>IMAGE("https://mitra.stanford.edu/kundaje/oak/projects/neuro-variants/variant_position/credible/roussos_2024/variant_figures/roussos_2024.childhood.Astrocyte/rs2680790_count_position.png",4,220,900)</f>
        <v/>
      </c>
      <c r="T3219">
        <f>IMAGE("https://mitra.stanford.edu/kundaje/oak/projects/neuro-variants/variant_position/credible/roussos_2024/variant_figures/roussos_2024.childhood.Astrocyte/rs2680790_profile_position.png",4,220,900)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-0.01239393396</v>
      </c>
      <c r="G3220" t="n">
        <v>0.6158286308030327</v>
      </c>
      <c r="H3220" t="n">
        <v>0.0257266826406469</v>
      </c>
      <c r="I3220" t="n">
        <v>0.0532338309030252</v>
      </c>
      <c r="J3220" t="n">
        <v>0.07702136429209309</v>
      </c>
      <c r="K3220" t="n">
        <v>0.3683426059265889</v>
      </c>
      <c r="L3220" t="b">
        <v>0</v>
      </c>
      <c r="M3220" t="b">
        <v>0</v>
      </c>
      <c r="N3220" t="inlineStr">
        <is>
          <t>ref</t>
        </is>
      </c>
      <c r="O3220" t="n">
        <v>-95</v>
      </c>
      <c r="P3220" t="n">
        <v>0.005867</v>
      </c>
      <c r="Q3220" t="n">
        <v>40</v>
      </c>
      <c r="R3220" t="n">
        <v>0.07495</v>
      </c>
      <c r="S3220">
        <f>IMAGE("https://mitra.stanford.edu/kundaje/oak/projects/neuro-variants/variant_position/credible/roussos_2024/variant_figures/roussos_2024.childhood.Astrocyte/rs2635639_count_position.png",4,220,900)</f>
        <v/>
      </c>
      <c r="T3220">
        <f>IMAGE("https://mitra.stanford.edu/kundaje/oak/projects/neuro-variants/variant_position/credible/roussos_2024/variant_figures/roussos_2024.childhood.Astrocyte/rs2635639_profile_position.png",4,220,900)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0.111675737</v>
      </c>
      <c r="G3221" t="n">
        <v>0.0560636598046873</v>
      </c>
      <c r="H3221" t="n">
        <v>0.0264592444694488</v>
      </c>
      <c r="I3221" t="n">
        <v>0.0502928178419698</v>
      </c>
      <c r="J3221" t="n">
        <v>0.1174158289635379</v>
      </c>
      <c r="K3221" t="n">
        <v>0.2933201467295188</v>
      </c>
      <c r="L3221" t="b">
        <v>0</v>
      </c>
      <c r="M3221" t="b">
        <v>0</v>
      </c>
      <c r="N3221" t="inlineStr">
        <is>
          <t>alt</t>
        </is>
      </c>
      <c r="O3221" t="n">
        <v>-70</v>
      </c>
      <c r="P3221" t="n">
        <v>0.001053</v>
      </c>
      <c r="Q3221" t="n">
        <v>-20</v>
      </c>
      <c r="R3221" t="n">
        <v>0.03442</v>
      </c>
      <c r="S3221">
        <f>IMAGE("https://mitra.stanford.edu/kundaje/oak/projects/neuro-variants/variant_position/credible/roussos_2024/variant_figures/roussos_2024.childhood.Astrocyte/rs2680799_count_position.png",4,220,900)</f>
        <v/>
      </c>
      <c r="T3221">
        <f>IMAGE("https://mitra.stanford.edu/kundaje/oak/projects/neuro-variants/variant_position/credible/roussos_2024/variant_figures/roussos_2024.childhood.Astrocyte/rs2680799_profile_position.png",4,220,900)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0.0184714658</v>
      </c>
      <c r="G3222" t="n">
        <v>0.3820191564942902</v>
      </c>
      <c r="H3222" t="n">
        <v>0.0185979908133332</v>
      </c>
      <c r="I3222" t="n">
        <v>0.1583196957132504</v>
      </c>
      <c r="J3222" t="n">
        <v>0.104319418683642</v>
      </c>
      <c r="K3222" t="n">
        <v>0.3143532626775739</v>
      </c>
      <c r="L3222" t="b">
        <v>0</v>
      </c>
      <c r="M3222" t="b">
        <v>0</v>
      </c>
      <c r="N3222" t="inlineStr">
        <is>
          <t>alt</t>
        </is>
      </c>
      <c r="O3222" t="n">
        <v>100</v>
      </c>
      <c r="P3222" t="n">
        <v>0.03543</v>
      </c>
      <c r="Q3222" t="n">
        <v>-60</v>
      </c>
      <c r="R3222" t="n">
        <v>0.1008</v>
      </c>
      <c r="S3222">
        <f>IMAGE("https://mitra.stanford.edu/kundaje/oak/projects/neuro-variants/variant_position/credible/roussos_2024/variant_figures/roussos_2024.childhood.Astrocyte/rs2680800_count_position.png",4,220,900)</f>
        <v/>
      </c>
      <c r="T3222">
        <f>IMAGE("https://mitra.stanford.edu/kundaje/oak/projects/neuro-variants/variant_position/credible/roussos_2024/variant_figures/roussos_2024.childhood.Astrocyte/rs2680800_profile_position.png",4,220,900)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0.106505032</v>
      </c>
      <c r="G3223" t="n">
        <v>0.0603805587749745</v>
      </c>
      <c r="H3223" t="n">
        <v>0.0117058073169272</v>
      </c>
      <c r="I3223" t="n">
        <v>0.5419442230552443</v>
      </c>
      <c r="J3223" t="n">
        <v>0.0225237190202498</v>
      </c>
      <c r="K3223" t="n">
        <v>0.5719161540999845</v>
      </c>
      <c r="L3223" t="b">
        <v>0</v>
      </c>
      <c r="M3223" t="b">
        <v>0</v>
      </c>
      <c r="N3223" t="inlineStr">
        <is>
          <t>alt</t>
        </is>
      </c>
      <c r="O3223" t="n">
        <v>100</v>
      </c>
      <c r="P3223" t="n">
        <v>0.01286</v>
      </c>
      <c r="Q3223" t="n">
        <v>50</v>
      </c>
      <c r="R3223" t="n">
        <v>0.09216000000000001</v>
      </c>
      <c r="S3223">
        <f>IMAGE("https://mitra.stanford.edu/kundaje/oak/projects/neuro-variants/variant_position/credible/roussos_2024/variant_figures/roussos_2024.childhood.Astrocyte/rs2635642_count_position.png",4,220,900)</f>
        <v/>
      </c>
      <c r="T3223">
        <f>IMAGE("https://mitra.stanford.edu/kundaje/oak/projects/neuro-variants/variant_position/credible/roussos_2024/variant_figures/roussos_2024.childhood.Astrocyte/rs2635642_profile_position.png",4,220,900)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-0.012423985276</v>
      </c>
      <c r="G3224" t="n">
        <v>0.6899366589178849</v>
      </c>
      <c r="H3224" t="n">
        <v>0.0077750739521299</v>
      </c>
      <c r="I3224" t="n">
        <v>0.9111831906615336</v>
      </c>
      <c r="J3224" t="n">
        <v>0.0018944684878599</v>
      </c>
      <c r="K3224" t="n">
        <v>0.8822808365296909</v>
      </c>
      <c r="L3224" t="b">
        <v>0</v>
      </c>
      <c r="M3224" t="b">
        <v>0</v>
      </c>
      <c r="N3224" t="inlineStr">
        <is>
          <t>ref</t>
        </is>
      </c>
      <c r="O3224" t="n">
        <v>-95</v>
      </c>
      <c r="P3224" t="n">
        <v>0.0191</v>
      </c>
      <c r="Q3224" t="n">
        <v>55</v>
      </c>
      <c r="R3224" t="n">
        <v>0.11523</v>
      </c>
      <c r="S3224">
        <f>IMAGE("https://mitra.stanford.edu/kundaje/oak/projects/neuro-variants/variant_position/credible/roussos_2024/variant_figures/roussos_2024.childhood.Astrocyte/rs2680803_count_position.png",4,220,900)</f>
        <v/>
      </c>
      <c r="T3224">
        <f>IMAGE("https://mitra.stanford.edu/kundaje/oak/projects/neuro-variants/variant_position/credible/roussos_2024/variant_figures/roussos_2024.childhood.Astrocyte/rs2680803_profile_position.png",4,220,900)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0.0034837357559999</v>
      </c>
      <c r="G3225" t="n">
        <v>0.6886247992722715</v>
      </c>
      <c r="H3225" t="n">
        <v>0.0103233186874836</v>
      </c>
      <c r="I3225" t="n">
        <v>0.675695950065162</v>
      </c>
      <c r="J3225" t="n">
        <v>0.0051903246242738</v>
      </c>
      <c r="K3225" t="n">
        <v>0.8092502526727006</v>
      </c>
      <c r="L3225" t="b">
        <v>0</v>
      </c>
      <c r="M3225" t="b">
        <v>0</v>
      </c>
      <c r="N3225" t="inlineStr">
        <is>
          <t>alt</t>
        </is>
      </c>
      <c r="O3225" t="n">
        <v>100</v>
      </c>
      <c r="P3225" t="n">
        <v>0.008835000000000001</v>
      </c>
      <c r="Q3225" t="n">
        <v>-100</v>
      </c>
      <c r="R3225" t="n">
        <v>0.1333</v>
      </c>
      <c r="S3225">
        <f>IMAGE("https://mitra.stanford.edu/kundaje/oak/projects/neuro-variants/variant_position/credible/roussos_2024/variant_figures/roussos_2024.childhood.Astrocyte/rs75819762_count_position.png",4,220,900)</f>
        <v/>
      </c>
      <c r="T3225">
        <f>IMAGE("https://mitra.stanford.edu/kundaje/oak/projects/neuro-variants/variant_position/credible/roussos_2024/variant_figures/roussos_2024.childhood.Astrocyte/rs75819762_profile_position.png",4,220,900)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0.09358916668</v>
      </c>
      <c r="G3226" t="n">
        <v>0.08744565584822379</v>
      </c>
      <c r="H3226" t="n">
        <v>0.0178842423729617</v>
      </c>
      <c r="I3226" t="n">
        <v>0.1975270904615621</v>
      </c>
      <c r="J3226" t="n">
        <v>0.2653774816239609</v>
      </c>
      <c r="K3226" t="n">
        <v>0.1528749485956542</v>
      </c>
      <c r="L3226" t="b">
        <v>0</v>
      </c>
      <c r="M3226" t="b">
        <v>0</v>
      </c>
      <c r="N3226" t="inlineStr">
        <is>
          <t>alt</t>
        </is>
      </c>
      <c r="O3226" t="n">
        <v>20</v>
      </c>
      <c r="P3226" t="n">
        <v>0.00409</v>
      </c>
      <c r="Q3226" t="n">
        <v>50</v>
      </c>
      <c r="R3226" t="n">
        <v>0.103</v>
      </c>
      <c r="S3226">
        <f>IMAGE("https://mitra.stanford.edu/kundaje/oak/projects/neuro-variants/variant_position/credible/roussos_2024/variant_figures/roussos_2024.childhood.Astrocyte/rs1862574_count_position.png",4,220,900)</f>
        <v/>
      </c>
      <c r="T3226">
        <f>IMAGE("https://mitra.stanford.edu/kundaje/oak/projects/neuro-variants/variant_position/credible/roussos_2024/variant_figures/roussos_2024.childhood.Astrocyte/rs1862574_profile_position.png",4,220,900)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0.0303528483199999</v>
      </c>
      <c r="G3227" t="n">
        <v>0.3654647397595187</v>
      </c>
      <c r="H3227" t="n">
        <v>0.0117450335411734</v>
      </c>
      <c r="I3227" t="n">
        <v>0.5149660281021655</v>
      </c>
      <c r="J3227" t="n">
        <v>0.6392655690656653</v>
      </c>
      <c r="K3227" t="n">
        <v>0.0272086376256291</v>
      </c>
      <c r="L3227" t="b">
        <v>0</v>
      </c>
      <c r="M3227" t="b">
        <v>0</v>
      </c>
      <c r="N3227" t="inlineStr">
        <is>
          <t>alt</t>
        </is>
      </c>
      <c r="O3227" t="n">
        <v>-100</v>
      </c>
      <c r="P3227" t="n">
        <v>0.009735000000000001</v>
      </c>
      <c r="Q3227" t="n">
        <v>-45</v>
      </c>
      <c r="R3227" t="n">
        <v>0.1381</v>
      </c>
      <c r="S3227">
        <f>IMAGE("https://mitra.stanford.edu/kundaje/oak/projects/neuro-variants/variant_position/credible/roussos_2024/variant_figures/roussos_2024.childhood.Astrocyte/rs2973038_count_position.png",4,220,900)</f>
        <v/>
      </c>
      <c r="T3227">
        <f>IMAGE("https://mitra.stanford.edu/kundaje/oak/projects/neuro-variants/variant_position/credible/roussos_2024/variant_figures/roussos_2024.childhood.Astrocyte/rs2973038_profile_position.png",4,220,900)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0.08423242039999999</v>
      </c>
      <c r="G3228" t="n">
        <v>0.1060275982761954</v>
      </c>
      <c r="H3228" t="n">
        <v>0.0280981576119692</v>
      </c>
      <c r="I3228" t="n">
        <v>0.0388922596026614</v>
      </c>
      <c r="J3228" t="n">
        <v>0.0102692099257324</v>
      </c>
      <c r="K3228" t="n">
        <v>0.697061696342716</v>
      </c>
      <c r="L3228" t="b">
        <v>0</v>
      </c>
      <c r="M3228" t="b">
        <v>0</v>
      </c>
      <c r="N3228" t="inlineStr">
        <is>
          <t>alt</t>
        </is>
      </c>
      <c r="O3228" t="n">
        <v>100</v>
      </c>
      <c r="P3228" t="n">
        <v>0.0232</v>
      </c>
      <c r="Q3228" t="n">
        <v>100</v>
      </c>
      <c r="R3228" t="n">
        <v>0.1276</v>
      </c>
      <c r="S3228">
        <f>IMAGE("https://mitra.stanford.edu/kundaje/oak/projects/neuro-variants/variant_position/credible/roussos_2024/variant_figures/roussos_2024.childhood.Astrocyte/rs7702731_count_position.png",4,220,900)</f>
        <v/>
      </c>
      <c r="T3228">
        <f>IMAGE("https://mitra.stanford.edu/kundaje/oak/projects/neuro-variants/variant_position/credible/roussos_2024/variant_figures/roussos_2024.childhood.Astrocyte/rs7702731_profile_position.png",4,220,900)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0.0018005183</v>
      </c>
      <c r="G3229" t="n">
        <v>0.7909466049477196</v>
      </c>
      <c r="H3229" t="n">
        <v>0.0279689736212016</v>
      </c>
      <c r="I3229" t="n">
        <v>0.0386154610684534</v>
      </c>
      <c r="J3229" t="n">
        <v>0.0007243555982993</v>
      </c>
      <c r="K3229" t="n">
        <v>0.9170258625582526</v>
      </c>
      <c r="L3229" t="b">
        <v>0</v>
      </c>
      <c r="M3229" t="b">
        <v>0</v>
      </c>
      <c r="N3229" t="inlineStr">
        <is>
          <t>alt</t>
        </is>
      </c>
      <c r="O3229" t="n">
        <v>-85</v>
      </c>
      <c r="P3229" t="n">
        <v>0.03177</v>
      </c>
      <c r="Q3229" t="n">
        <v>-90</v>
      </c>
      <c r="R3229" t="n">
        <v>0.0673</v>
      </c>
      <c r="S3229">
        <f>IMAGE("https://mitra.stanford.edu/kundaje/oak/projects/neuro-variants/variant_position/credible/roussos_2024/variant_figures/roussos_2024.childhood.Astrocyte/rs11738503_count_position.png",4,220,900)</f>
        <v/>
      </c>
      <c r="T3229">
        <f>IMAGE("https://mitra.stanford.edu/kundaje/oak/projects/neuro-variants/variant_position/credible/roussos_2024/variant_figures/roussos_2024.childhood.Astrocyte/rs11738503_profile_position.png",4,220,900)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0.0174340552</v>
      </c>
      <c r="G3230" t="n">
        <v>0.5137913977550388</v>
      </c>
      <c r="H3230" t="n">
        <v>0.009786653164536901</v>
      </c>
      <c r="I3230" t="n">
        <v>0.7436971053625074</v>
      </c>
      <c r="J3230" t="n">
        <v>0.0329257401937211</v>
      </c>
      <c r="K3230" t="n">
        <v>0.5476747635356741</v>
      </c>
      <c r="L3230" t="b">
        <v>0</v>
      </c>
      <c r="M3230" t="b">
        <v>0</v>
      </c>
      <c r="N3230" t="inlineStr">
        <is>
          <t>alt</t>
        </is>
      </c>
      <c r="O3230" t="n">
        <v>100</v>
      </c>
      <c r="P3230" t="n">
        <v>0.00557</v>
      </c>
      <c r="Q3230" t="n">
        <v>-30</v>
      </c>
      <c r="R3230" t="n">
        <v>0.03308</v>
      </c>
      <c r="S3230">
        <f>IMAGE("https://mitra.stanford.edu/kundaje/oak/projects/neuro-variants/variant_position/credible/roussos_2024/variant_figures/roussos_2024.childhood.Astrocyte/rs138471599_count_position.png",4,220,900)</f>
        <v/>
      </c>
      <c r="T3230">
        <f>IMAGE("https://mitra.stanford.edu/kundaje/oak/projects/neuro-variants/variant_position/credible/roussos_2024/variant_figures/roussos_2024.childhood.Astrocyte/rs138471599_profile_position.png",4,220,900)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0.0411204837999999</v>
      </c>
      <c r="G3231" t="n">
        <v>0.2719866420650453</v>
      </c>
      <c r="H3231" t="n">
        <v>0.0105100482557737</v>
      </c>
      <c r="I3231" t="n">
        <v>0.6666337169663453</v>
      </c>
      <c r="J3231" t="n">
        <v>0.0081656018868356</v>
      </c>
      <c r="K3231" t="n">
        <v>0.7161518039076018</v>
      </c>
      <c r="L3231" t="b">
        <v>0</v>
      </c>
      <c r="M3231" t="b">
        <v>0</v>
      </c>
      <c r="N3231" t="inlineStr">
        <is>
          <t>alt</t>
        </is>
      </c>
      <c r="O3231" t="n">
        <v>-80</v>
      </c>
      <c r="P3231" t="n">
        <v>0.002197</v>
      </c>
      <c r="Q3231" t="n">
        <v>-50</v>
      </c>
      <c r="R3231" t="n">
        <v>0.0517</v>
      </c>
      <c r="S3231">
        <f>IMAGE("https://mitra.stanford.edu/kundaje/oak/projects/neuro-variants/variant_position/credible/roussos_2024/variant_figures/roussos_2024.childhood.Astrocyte/rs245412_count_position.png",4,220,900)</f>
        <v/>
      </c>
      <c r="T3231">
        <f>IMAGE("https://mitra.stanford.edu/kundaje/oak/projects/neuro-variants/variant_position/credible/roussos_2024/variant_figures/roussos_2024.childhood.Astrocyte/rs245412_profile_position.png",4,220,900)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-0.144701468</v>
      </c>
      <c r="G3232" t="n">
        <v>0.0346858464589483</v>
      </c>
      <c r="H3232" t="n">
        <v>0.0203580030918537</v>
      </c>
      <c r="I3232" t="n">
        <v>0.1236630449256963</v>
      </c>
      <c r="J3232" t="n">
        <v>0.0110607344309343</v>
      </c>
      <c r="K3232" t="n">
        <v>0.6810359465024559</v>
      </c>
      <c r="L3232" t="b">
        <v>0</v>
      </c>
      <c r="M3232" t="b">
        <v>0</v>
      </c>
      <c r="N3232" t="inlineStr">
        <is>
          <t>ref</t>
        </is>
      </c>
      <c r="O3232" t="n">
        <v>-100</v>
      </c>
      <c r="P3232" t="n">
        <v>0.01056</v>
      </c>
      <c r="Q3232" t="n">
        <v>-100</v>
      </c>
      <c r="R3232" t="n">
        <v>0.1445</v>
      </c>
      <c r="S3232">
        <f>IMAGE("https://mitra.stanford.edu/kundaje/oak/projects/neuro-variants/variant_position/credible/roussos_2024/variant_figures/roussos_2024.childhood.Astrocyte/rs151893_count_position.png",4,220,900)</f>
        <v/>
      </c>
      <c r="T3232">
        <f>IMAGE("https://mitra.stanford.edu/kundaje/oak/projects/neuro-variants/variant_position/credible/roussos_2024/variant_figures/roussos_2024.childhood.Astrocyte/rs151893_profile_position.png",4,220,900)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-0.0253902868</v>
      </c>
      <c r="G3233" t="n">
        <v>0.4598758513893832</v>
      </c>
      <c r="H3233" t="n">
        <v>0.0165329858350133</v>
      </c>
      <c r="I3233" t="n">
        <v>0.2298425931231076</v>
      </c>
      <c r="J3233" t="n">
        <v>0.006664987443994</v>
      </c>
      <c r="K3233" t="n">
        <v>0.738620110983184</v>
      </c>
      <c r="L3233" t="b">
        <v>0</v>
      </c>
      <c r="M3233" t="b">
        <v>0</v>
      </c>
      <c r="N3233" t="inlineStr">
        <is>
          <t>ref</t>
        </is>
      </c>
      <c r="O3233" t="n">
        <v>45</v>
      </c>
      <c r="P3233" t="n">
        <v>0.002884</v>
      </c>
      <c r="Q3233" t="n">
        <v>25</v>
      </c>
      <c r="R3233" t="n">
        <v>0.02261</v>
      </c>
      <c r="S3233">
        <f>IMAGE("https://mitra.stanford.edu/kundaje/oak/projects/neuro-variants/variant_position/credible/roussos_2024/variant_figures/roussos_2024.childhood.Astrocyte/rs158280_count_position.png",4,220,900)</f>
        <v/>
      </c>
      <c r="T3233">
        <f>IMAGE("https://mitra.stanford.edu/kundaje/oak/projects/neuro-variants/variant_position/credible/roussos_2024/variant_figures/roussos_2024.childhood.Astrocyte/rs158280_profile_position.png",4,220,900)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-0.00543965032</v>
      </c>
      <c r="G3234" t="n">
        <v>0.4010241702655618</v>
      </c>
      <c r="H3234" t="n">
        <v>0.008610083360647801</v>
      </c>
      <c r="I3234" t="n">
        <v>0.8224827143607558</v>
      </c>
      <c r="J3234" t="n">
        <v>0.0035408699900009</v>
      </c>
      <c r="K3234" t="n">
        <v>0.8538576160618949</v>
      </c>
      <c r="L3234" t="b">
        <v>0</v>
      </c>
      <c r="M3234" t="b">
        <v>0</v>
      </c>
      <c r="N3234" t="inlineStr">
        <is>
          <t>ref</t>
        </is>
      </c>
      <c r="O3234" t="n">
        <v>-80</v>
      </c>
      <c r="P3234" t="n">
        <v>0.01107</v>
      </c>
      <c r="Q3234" t="n">
        <v>-100</v>
      </c>
      <c r="R3234" t="n">
        <v>0.1317</v>
      </c>
      <c r="S3234">
        <f>IMAGE("https://mitra.stanford.edu/kundaje/oak/projects/neuro-variants/variant_position/credible/roussos_2024/variant_figures/roussos_2024.childhood.Astrocyte/rs832636_count_position.png",4,220,900)</f>
        <v/>
      </c>
      <c r="T3234">
        <f>IMAGE("https://mitra.stanford.edu/kundaje/oak/projects/neuro-variants/variant_position/credible/roussos_2024/variant_figures/roussos_2024.childhood.Astrocyte/rs832636_profile_position.png",4,220,900)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-0.0471035007999999</v>
      </c>
      <c r="G3235" t="n">
        <v>0.043353677471084</v>
      </c>
      <c r="H3235" t="n">
        <v>0.0155262487814889</v>
      </c>
      <c r="I3235" t="n">
        <v>0.2808452956951305</v>
      </c>
      <c r="J3235" t="n">
        <v>0.2069619045438238</v>
      </c>
      <c r="K3235" t="n">
        <v>0.1950385287197671</v>
      </c>
      <c r="L3235" t="b">
        <v>0</v>
      </c>
      <c r="M3235" t="b">
        <v>0</v>
      </c>
      <c r="N3235" t="inlineStr">
        <is>
          <t>ref</t>
        </is>
      </c>
      <c r="O3235" t="n">
        <v>95</v>
      </c>
      <c r="P3235" t="n">
        <v>0.004166</v>
      </c>
      <c r="Q3235" t="n">
        <v>35</v>
      </c>
      <c r="R3235" t="n">
        <v>0.04883</v>
      </c>
      <c r="S3235">
        <f>IMAGE("https://mitra.stanford.edu/kundaje/oak/projects/neuro-variants/variant_position/credible/roussos_2024/variant_figures/roussos_2024.childhood.Astrocyte/rs12153002_count_position.png",4,220,900)</f>
        <v/>
      </c>
      <c r="T3235">
        <f>IMAGE("https://mitra.stanford.edu/kundaje/oak/projects/neuro-variants/variant_position/credible/roussos_2024/variant_figures/roussos_2024.childhood.Astrocyte/rs12153002_profile_position.png",4,220,900)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-0.0226954506</v>
      </c>
      <c r="G3236" t="n">
        <v>0.489466240847552</v>
      </c>
      <c r="H3236" t="n">
        <v>0.0274973822598576</v>
      </c>
      <c r="I3236" t="n">
        <v>0.0419843344371763</v>
      </c>
      <c r="J3236" t="n">
        <v>0.0009647897536885</v>
      </c>
      <c r="K3236" t="n">
        <v>0.9068985767566904</v>
      </c>
      <c r="L3236" t="b">
        <v>0</v>
      </c>
      <c r="M3236" t="b">
        <v>0</v>
      </c>
      <c r="N3236" t="inlineStr">
        <is>
          <t>ref</t>
        </is>
      </c>
      <c r="O3236" t="n">
        <v>70</v>
      </c>
      <c r="P3236" t="n">
        <v>0.01799</v>
      </c>
      <c r="Q3236" t="n">
        <v>-55</v>
      </c>
      <c r="R3236" t="n">
        <v>0.1123</v>
      </c>
      <c r="S3236">
        <f>IMAGE("https://mitra.stanford.edu/kundaje/oak/projects/neuro-variants/variant_position/credible/roussos_2024/variant_figures/roussos_2024.childhood.Astrocyte/rs117702129_count_position.png",4,220,900)</f>
        <v/>
      </c>
      <c r="T3236">
        <f>IMAGE("https://mitra.stanford.edu/kundaje/oak/projects/neuro-variants/variant_position/credible/roussos_2024/variant_figures/roussos_2024.childhood.Astrocyte/rs117702129_profile_position.png",4,220,900)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-0.0621847457999999</v>
      </c>
      <c r="G3237" t="n">
        <v>0.1545389340094027</v>
      </c>
      <c r="H3237" t="n">
        <v>0.0180422639788584</v>
      </c>
      <c r="I3237" t="n">
        <v>0.1926375062939494</v>
      </c>
      <c r="J3237" t="n">
        <v>0.0031973926251592</v>
      </c>
      <c r="K3237" t="n">
        <v>0.8312428827130152</v>
      </c>
      <c r="L3237" t="b">
        <v>0</v>
      </c>
      <c r="M3237" t="b">
        <v>0</v>
      </c>
      <c r="N3237" t="inlineStr">
        <is>
          <t>ref</t>
        </is>
      </c>
      <c r="O3237" t="n">
        <v>55</v>
      </c>
      <c r="P3237" t="n">
        <v>0.02591</v>
      </c>
      <c r="Q3237" t="n">
        <v>65</v>
      </c>
      <c r="R3237" t="n">
        <v>0.0864</v>
      </c>
      <c r="S3237">
        <f>IMAGE("https://mitra.stanford.edu/kundaje/oak/projects/neuro-variants/variant_position/credible/roussos_2024/variant_figures/roussos_2024.childhood.Astrocyte/rs171748_count_position.png",4,220,900)</f>
        <v/>
      </c>
      <c r="T3237">
        <f>IMAGE("https://mitra.stanford.edu/kundaje/oak/projects/neuro-variants/variant_position/credible/roussos_2024/variant_figures/roussos_2024.childhood.Astrocyte/rs171748_profile_position.png",4,220,900)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-0.0101572088</v>
      </c>
      <c r="G3238" t="n">
        <v>0.7247254322804253</v>
      </c>
      <c r="H3238" t="n">
        <v>0.0232578611826577</v>
      </c>
      <c r="I3238" t="n">
        <v>0.0759718566233275</v>
      </c>
      <c r="J3238" t="n">
        <v>0.0011128666620869</v>
      </c>
      <c r="K3238" t="n">
        <v>0.902910690433236</v>
      </c>
      <c r="L3238" t="b">
        <v>0</v>
      </c>
      <c r="M3238" t="b">
        <v>0</v>
      </c>
      <c r="N3238" t="inlineStr">
        <is>
          <t>ref</t>
        </is>
      </c>
      <c r="O3238" t="n">
        <v>100</v>
      </c>
      <c r="P3238" t="n">
        <v>0.01729</v>
      </c>
      <c r="Q3238" t="n">
        <v>-70</v>
      </c>
      <c r="R3238" t="n">
        <v>0.137</v>
      </c>
      <c r="S3238">
        <f>IMAGE("https://mitra.stanford.edu/kundaje/oak/projects/neuro-variants/variant_position/credible/roussos_2024/variant_figures/roussos_2024.childhood.Astrocyte/rs177114_count_position.png",4,220,900)</f>
        <v/>
      </c>
      <c r="T3238">
        <f>IMAGE("https://mitra.stanford.edu/kundaje/oak/projects/neuro-variants/variant_position/credible/roussos_2024/variant_figures/roussos_2024.childhood.Astrocyte/rs177114_profile_position.png",4,220,900)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0.008606810600000001</v>
      </c>
      <c r="G3239" t="n">
        <v>0.6042586410041368</v>
      </c>
      <c r="H3239" t="n">
        <v>0.0125778943125714</v>
      </c>
      <c r="I3239" t="n">
        <v>0.4679595914645352</v>
      </c>
      <c r="J3239" t="n">
        <v>0.0107767931426652</v>
      </c>
      <c r="K3239" t="n">
        <v>0.6804494249537213</v>
      </c>
      <c r="L3239" t="b">
        <v>0</v>
      </c>
      <c r="M3239" t="b">
        <v>0</v>
      </c>
      <c r="N3239" t="inlineStr">
        <is>
          <t>alt</t>
        </is>
      </c>
      <c r="O3239" t="n">
        <v>-100</v>
      </c>
      <c r="P3239" t="n">
        <v>0.0626</v>
      </c>
      <c r="Q3239" t="n">
        <v>15</v>
      </c>
      <c r="R3239" t="n">
        <v>0.02539</v>
      </c>
      <c r="S3239">
        <f>IMAGE("https://mitra.stanford.edu/kundaje/oak/projects/neuro-variants/variant_position/credible/roussos_2024/variant_figures/roussos_2024.childhood.Astrocyte/rs476099_count_position.png",4,220,900)</f>
        <v/>
      </c>
      <c r="T3239">
        <f>IMAGE("https://mitra.stanford.edu/kundaje/oak/projects/neuro-variants/variant_position/credible/roussos_2024/variant_figures/roussos_2024.childhood.Astrocyte/rs476099_profile_position.png",4,220,900)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-0.0388465098</v>
      </c>
      <c r="G3240" t="n">
        <v>0.3260649768992134</v>
      </c>
      <c r="H3240" t="n">
        <v>0.0127748335319515</v>
      </c>
      <c r="I3240" t="n">
        <v>0.4495845359159514</v>
      </c>
      <c r="J3240" t="n">
        <v>0.0002572263821147</v>
      </c>
      <c r="K3240" t="n">
        <v>0.967989009186962</v>
      </c>
      <c r="L3240" t="b">
        <v>0</v>
      </c>
      <c r="M3240" t="b">
        <v>0</v>
      </c>
      <c r="N3240" t="inlineStr">
        <is>
          <t>ref</t>
        </is>
      </c>
      <c r="O3240" t="n">
        <v>-5</v>
      </c>
      <c r="P3240" t="n">
        <v>0.0002747</v>
      </c>
      <c r="Q3240" t="n">
        <v>-20</v>
      </c>
      <c r="R3240" t="n">
        <v>0.0536</v>
      </c>
      <c r="S3240">
        <f>IMAGE("https://mitra.stanford.edu/kundaje/oak/projects/neuro-variants/variant_position/credible/roussos_2024/variant_figures/roussos_2024.childhood.Astrocyte/rs192070971_count_position.png",4,220,900)</f>
        <v/>
      </c>
      <c r="T3240">
        <f>IMAGE("https://mitra.stanford.edu/kundaje/oak/projects/neuro-variants/variant_position/credible/roussos_2024/variant_figures/roussos_2024.childhood.Astrocyte/rs192070971_profile_position.png",4,220,900)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-0.0266172089999999</v>
      </c>
      <c r="G3241" t="n">
        <v>0.4342416981325994</v>
      </c>
      <c r="H3241" t="n">
        <v>0.037641115715222</v>
      </c>
      <c r="I3241" t="n">
        <v>0.0128339098935078</v>
      </c>
      <c r="J3241" t="n">
        <v>0.0785433506598581</v>
      </c>
      <c r="K3241" t="n">
        <v>0.3779701477895061</v>
      </c>
      <c r="L3241" t="b">
        <v>1</v>
      </c>
      <c r="M3241" t="b">
        <v>0</v>
      </c>
      <c r="N3241" t="inlineStr">
        <is>
          <t>ref</t>
        </is>
      </c>
      <c r="O3241" t="n">
        <v>40</v>
      </c>
      <c r="P3241" t="n">
        <v>0.002182</v>
      </c>
      <c r="Q3241" t="n">
        <v>70</v>
      </c>
      <c r="R3241" t="n">
        <v>0.1353</v>
      </c>
      <c r="S3241">
        <f>IMAGE("https://mitra.stanford.edu/kundaje/oak/projects/neuro-variants/variant_position/credible/roussos_2024/variant_figures/roussos_2024.childhood.Astrocyte/rs10939891_count_position.png",4,220,900)</f>
        <v/>
      </c>
      <c r="T3241">
        <f>IMAGE("https://mitra.stanford.edu/kundaje/oak/projects/neuro-variants/variant_position/credible/roussos_2024/variant_figures/roussos_2024.childhood.Astrocyte/rs10939891_profile_position.png",4,220,900)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-0.0793536774</v>
      </c>
      <c r="G3242" t="n">
        <v>0.1186146481997018</v>
      </c>
      <c r="H3242" t="n">
        <v>0.0141855602963348</v>
      </c>
      <c r="I3242" t="n">
        <v>0.3485934471019177</v>
      </c>
      <c r="J3242" t="n">
        <v>0.1363773060688633</v>
      </c>
      <c r="K3242" t="n">
        <v>0.2678514742377021</v>
      </c>
      <c r="L3242" t="b">
        <v>0</v>
      </c>
      <c r="M3242" t="b">
        <v>0</v>
      </c>
      <c r="N3242" t="inlineStr">
        <is>
          <t>ref</t>
        </is>
      </c>
      <c r="O3242" t="n">
        <v>95</v>
      </c>
      <c r="P3242" t="n">
        <v>0.00766</v>
      </c>
      <c r="Q3242" t="n">
        <v>-5</v>
      </c>
      <c r="R3242" t="n">
        <v>0.03076</v>
      </c>
      <c r="S3242">
        <f>IMAGE("https://mitra.stanford.edu/kundaje/oak/projects/neuro-variants/variant_position/credible/roussos_2024/variant_figures/roussos_2024.childhood.Astrocyte/rs11949390_count_position.png",4,220,900)</f>
        <v/>
      </c>
      <c r="T3242">
        <f>IMAGE("https://mitra.stanford.edu/kundaje/oak/projects/neuro-variants/variant_position/credible/roussos_2024/variant_figures/roussos_2024.childhood.Astrocyte/rs11949390_profile_position.png",4,220,900)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0.0054353985</v>
      </c>
      <c r="G3243" t="n">
        <v>0.7824240656092836</v>
      </c>
      <c r="H3243" t="n">
        <v>0.008276951194012601</v>
      </c>
      <c r="I3243" t="n">
        <v>0.8905514949628877</v>
      </c>
      <c r="J3243" t="n">
        <v>0.0230022974819292</v>
      </c>
      <c r="K3243" t="n">
        <v>0.569113992379375</v>
      </c>
      <c r="L3243" t="b">
        <v>0</v>
      </c>
      <c r="M3243" t="b">
        <v>0</v>
      </c>
      <c r="N3243" t="inlineStr">
        <is>
          <t>alt</t>
        </is>
      </c>
      <c r="O3243" t="n">
        <v>45</v>
      </c>
      <c r="P3243" t="n">
        <v>0.0496</v>
      </c>
      <c r="Q3243" t="n">
        <v>80</v>
      </c>
      <c r="R3243" t="n">
        <v>0.1398</v>
      </c>
      <c r="S3243">
        <f>IMAGE("https://mitra.stanford.edu/kundaje/oak/projects/neuro-variants/variant_position/credible/roussos_2024/variant_figures/roussos_2024.childhood.Astrocyte/rs10939894_count_position.png",4,220,900)</f>
        <v/>
      </c>
      <c r="T3243">
        <f>IMAGE("https://mitra.stanford.edu/kundaje/oak/projects/neuro-variants/variant_position/credible/roussos_2024/variant_figures/roussos_2024.childhood.Astrocyte/rs10939894_profile_position.png",4,220,900)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-0.1640565519999999</v>
      </c>
      <c r="G3244" t="n">
        <v>0.0305110424383008</v>
      </c>
      <c r="H3244" t="n">
        <v>0.0531366045756995</v>
      </c>
      <c r="I3244" t="n">
        <v>0.0042478543001161</v>
      </c>
      <c r="J3244" t="n">
        <v>0.0794279956950836</v>
      </c>
      <c r="K3244" t="n">
        <v>0.3892547306763578</v>
      </c>
      <c r="L3244" t="b">
        <v>1</v>
      </c>
      <c r="M3244" t="b">
        <v>1</v>
      </c>
      <c r="N3244" t="inlineStr">
        <is>
          <t>ref</t>
        </is>
      </c>
      <c r="O3244" t="n">
        <v>100</v>
      </c>
      <c r="P3244" t="n">
        <v>0.01422</v>
      </c>
      <c r="Q3244" t="n">
        <v>70</v>
      </c>
      <c r="R3244" t="n">
        <v>0.289</v>
      </c>
      <c r="S3244">
        <f>IMAGE("https://mitra.stanford.edu/kundaje/oak/projects/neuro-variants/variant_position/credible/roussos_2024/variant_figures/roussos_2024.childhood.Astrocyte/rs13179814_count_position.png",4,220,900)</f>
        <v/>
      </c>
      <c r="T3244">
        <f>IMAGE("https://mitra.stanford.edu/kundaje/oak/projects/neuro-variants/variant_position/credible/roussos_2024/variant_figures/roussos_2024.childhood.Astrocyte/rs13179814_profile_position.png",4,220,900)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0.132003064</v>
      </c>
      <c r="G3245" t="n">
        <v>0.0399306106580873</v>
      </c>
      <c r="H3245" t="n">
        <v>0.0213812765158881</v>
      </c>
      <c r="I3245" t="n">
        <v>0.1071780381375144</v>
      </c>
      <c r="J3245" t="n">
        <v>0.08244678009052531</v>
      </c>
      <c r="K3245" t="n">
        <v>0.3788706981819932</v>
      </c>
      <c r="L3245" t="b">
        <v>0</v>
      </c>
      <c r="M3245" t="b">
        <v>0</v>
      </c>
      <c r="N3245" t="inlineStr">
        <is>
          <t>alt</t>
        </is>
      </c>
      <c r="O3245" t="n">
        <v>-30</v>
      </c>
      <c r="P3245" t="n">
        <v>0.04477</v>
      </c>
      <c r="Q3245" t="n">
        <v>-20</v>
      </c>
      <c r="R3245" t="n">
        <v>0.03955</v>
      </c>
      <c r="S3245">
        <f>IMAGE("https://mitra.stanford.edu/kundaje/oak/projects/neuro-variants/variant_position/credible/roussos_2024/variant_figures/roussos_2024.childhood.Astrocyte/rs62366231_count_position.png",4,220,900)</f>
        <v/>
      </c>
      <c r="T3245">
        <f>IMAGE("https://mitra.stanford.edu/kundaje/oak/projects/neuro-variants/variant_position/credible/roussos_2024/variant_figures/roussos_2024.childhood.Astrocyte/rs62366231_profile_position.png",4,220,900)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0.064979267356</v>
      </c>
      <c r="G3246" t="n">
        <v>0.2536984556486806</v>
      </c>
      <c r="H3246" t="n">
        <v>0.0180875871313419</v>
      </c>
      <c r="I3246" t="n">
        <v>0.1743846339257953</v>
      </c>
      <c r="J3246" t="n">
        <v>0.3343981131643424</v>
      </c>
      <c r="K3246" t="n">
        <v>0.1142015422462412</v>
      </c>
      <c r="L3246" t="b">
        <v>0</v>
      </c>
      <c r="M3246" t="b">
        <v>0</v>
      </c>
      <c r="N3246" t="inlineStr">
        <is>
          <t>alt</t>
        </is>
      </c>
      <c r="O3246" t="n">
        <v>100</v>
      </c>
      <c r="P3246" t="n">
        <v>0.0727</v>
      </c>
      <c r="Q3246" t="n">
        <v>30</v>
      </c>
      <c r="R3246" t="n">
        <v>0.03906</v>
      </c>
      <c r="S3246">
        <f>IMAGE("https://mitra.stanford.edu/kundaje/oak/projects/neuro-variants/variant_position/credible/roussos_2024/variant_figures/roussos_2024.childhood.Astrocyte/rs4604142_count_position.png",4,220,900)</f>
        <v/>
      </c>
      <c r="T3246">
        <f>IMAGE("https://mitra.stanford.edu/kundaje/oak/projects/neuro-variants/variant_position/credible/roussos_2024/variant_figures/roussos_2024.childhood.Astrocyte/rs4604142_profile_position.png",4,220,900)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0.1202953159999999</v>
      </c>
      <c r="G3247" t="n">
        <v>0.0514275969647452</v>
      </c>
      <c r="H3247" t="n">
        <v>0.0124830444326462</v>
      </c>
      <c r="I3247" t="n">
        <v>0.475626667126809</v>
      </c>
      <c r="J3247" t="n">
        <v>0.5882362818956898</v>
      </c>
      <c r="K3247" t="n">
        <v>0.0337759422997557</v>
      </c>
      <c r="L3247" t="b">
        <v>0</v>
      </c>
      <c r="M3247" t="b">
        <v>0</v>
      </c>
      <c r="N3247" t="inlineStr">
        <is>
          <t>alt</t>
        </is>
      </c>
      <c r="O3247" t="n">
        <v>-95</v>
      </c>
      <c r="P3247" t="n">
        <v>0.02222</v>
      </c>
      <c r="Q3247" t="n">
        <v>-95</v>
      </c>
      <c r="R3247" t="n">
        <v>0.3103</v>
      </c>
      <c r="S3247">
        <f>IMAGE("https://mitra.stanford.edu/kundaje/oak/projects/neuro-variants/variant_position/credible/roussos_2024/variant_figures/roussos_2024.childhood.Astrocyte/rs10939902_count_position.png",4,220,900)</f>
        <v/>
      </c>
      <c r="T3247">
        <f>IMAGE("https://mitra.stanford.edu/kundaje/oak/projects/neuro-variants/variant_position/credible/roussos_2024/variant_figures/roussos_2024.childhood.Astrocyte/rs10939902_profile_position.png",4,220,900)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0.0272445326</v>
      </c>
      <c r="G3248" t="n">
        <v>0.4095451010503894</v>
      </c>
      <c r="H3248" t="n">
        <v>0.0520744287834381</v>
      </c>
      <c r="I3248" t="n">
        <v>0.0034172858196111</v>
      </c>
      <c r="J3248" t="n">
        <v>0.006374939891461</v>
      </c>
      <c r="K3248" t="n">
        <v>0.7532461512638523</v>
      </c>
      <c r="L3248" t="b">
        <v>0</v>
      </c>
      <c r="M3248" t="b">
        <v>0</v>
      </c>
      <c r="N3248" t="inlineStr">
        <is>
          <t>alt</t>
        </is>
      </c>
      <c r="O3248" t="n">
        <v>85</v>
      </c>
      <c r="P3248" t="n">
        <v>0.03223</v>
      </c>
      <c r="Q3248" t="n">
        <v>45</v>
      </c>
      <c r="R3248" t="n">
        <v>0.08984</v>
      </c>
      <c r="S3248">
        <f>IMAGE("https://mitra.stanford.edu/kundaje/oak/projects/neuro-variants/variant_position/credible/roussos_2024/variant_figures/roussos_2024.childhood.Astrocyte/rs34270022_count_position.png",4,220,900)</f>
        <v/>
      </c>
      <c r="T3248">
        <f>IMAGE("https://mitra.stanford.edu/kundaje/oak/projects/neuro-variants/variant_position/credible/roussos_2024/variant_figures/roussos_2024.childhood.Astrocyte/rs34270022_profile_position.png",4,220,900)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0.08789124299999999</v>
      </c>
      <c r="G3249" t="n">
        <v>0.0865833024942666</v>
      </c>
      <c r="H3249" t="n">
        <v>0.0143117077444666</v>
      </c>
      <c r="I3249" t="n">
        <v>0.3361133206510573</v>
      </c>
      <c r="J3249" t="n">
        <v>0.0009197560547426</v>
      </c>
      <c r="K3249" t="n">
        <v>0.9150719196898028</v>
      </c>
      <c r="L3249" t="b">
        <v>0</v>
      </c>
      <c r="M3249" t="b">
        <v>0</v>
      </c>
      <c r="N3249" t="inlineStr">
        <is>
          <t>alt</t>
        </is>
      </c>
      <c r="O3249" t="n">
        <v>75</v>
      </c>
      <c r="P3249" t="n">
        <v>0.002426</v>
      </c>
      <c r="Q3249" t="n">
        <v>-100</v>
      </c>
      <c r="R3249" t="n">
        <v>0.04468</v>
      </c>
      <c r="S3249">
        <f>IMAGE("https://mitra.stanford.edu/kundaje/oak/projects/neuro-variants/variant_position/credible/roussos_2024/variant_figures/roussos_2024.childhood.Astrocyte/rs3104058_count_position.png",4,220,900)</f>
        <v/>
      </c>
      <c r="T3249">
        <f>IMAGE("https://mitra.stanford.edu/kundaje/oak/projects/neuro-variants/variant_position/credible/roussos_2024/variant_figures/roussos_2024.childhood.Astrocyte/rs3104058_profile_position.png",4,220,900)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-0.00655800826</v>
      </c>
      <c r="G3250" t="n">
        <v>0.6317643128757745</v>
      </c>
      <c r="H3250" t="n">
        <v>0.0281098742103277</v>
      </c>
      <c r="I3250" t="n">
        <v>0.038595086662557</v>
      </c>
      <c r="J3250" t="n">
        <v>0.0004678924992175</v>
      </c>
      <c r="K3250" t="n">
        <v>0.9434110935161678</v>
      </c>
      <c r="L3250" t="b">
        <v>0</v>
      </c>
      <c r="M3250" t="b">
        <v>0</v>
      </c>
      <c r="N3250" t="inlineStr">
        <is>
          <t>ref</t>
        </is>
      </c>
      <c r="O3250" t="n">
        <v>-100</v>
      </c>
      <c r="P3250" t="n">
        <v>0.01604</v>
      </c>
      <c r="Q3250" t="n">
        <v>10</v>
      </c>
      <c r="R3250" t="n">
        <v>0.009705</v>
      </c>
      <c r="S3250">
        <f>IMAGE("https://mitra.stanford.edu/kundaje/oak/projects/neuro-variants/variant_position/credible/roussos_2024/variant_figures/roussos_2024.childhood.Astrocyte/rs1603090_count_position.png",4,220,900)</f>
        <v/>
      </c>
      <c r="T3250">
        <f>IMAGE("https://mitra.stanford.edu/kundaje/oak/projects/neuro-variants/variant_position/credible/roussos_2024/variant_figures/roussos_2024.childhood.Astrocyte/rs1603090_profile_position.png",4,220,900)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0.00921174156</v>
      </c>
      <c r="G3251" t="n">
        <v>0.5759268268877082</v>
      </c>
      <c r="H3251" t="n">
        <v>0.0117433053564098</v>
      </c>
      <c r="I3251" t="n">
        <v>0.5438915983421556</v>
      </c>
      <c r="J3251" t="n">
        <v>0.010166929999313</v>
      </c>
      <c r="K3251" t="n">
        <v>0.6969208870099127</v>
      </c>
      <c r="L3251" t="b">
        <v>0</v>
      </c>
      <c r="M3251" t="b">
        <v>0</v>
      </c>
      <c r="N3251" t="inlineStr">
        <is>
          <t>alt</t>
        </is>
      </c>
      <c r="O3251" t="n">
        <v>-50</v>
      </c>
      <c r="P3251" t="n">
        <v>0.004066</v>
      </c>
      <c r="Q3251" t="n">
        <v>100</v>
      </c>
      <c r="R3251" t="n">
        <v>0.193</v>
      </c>
      <c r="S3251">
        <f>IMAGE("https://mitra.stanford.edu/kundaje/oak/projects/neuro-variants/variant_position/credible/roussos_2024/variant_figures/roussos_2024.childhood.Astrocyte/rs2963002_count_position.png",4,220,900)</f>
        <v/>
      </c>
      <c r="T3251">
        <f>IMAGE("https://mitra.stanford.edu/kundaje/oak/projects/neuro-variants/variant_position/credible/roussos_2024/variant_figures/roussos_2024.childhood.Astrocyte/rs2963002_profile_position.png",4,220,900)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0.1047938059999999</v>
      </c>
      <c r="G3252" t="n">
        <v>0.06450943017405091</v>
      </c>
      <c r="H3252" t="n">
        <v>0.0141895969127079</v>
      </c>
      <c r="I3252" t="n">
        <v>0.3457363557727504</v>
      </c>
      <c r="J3252" t="n">
        <v>0.0110958454504514</v>
      </c>
      <c r="K3252" t="n">
        <v>0.6732227436192324</v>
      </c>
      <c r="L3252" t="b">
        <v>0</v>
      </c>
      <c r="M3252" t="b">
        <v>0</v>
      </c>
      <c r="N3252" t="inlineStr">
        <is>
          <t>alt</t>
        </is>
      </c>
      <c r="O3252" t="n">
        <v>-75</v>
      </c>
      <c r="P3252" t="n">
        <v>0.01857</v>
      </c>
      <c r="Q3252" t="n">
        <v>75</v>
      </c>
      <c r="R3252" t="n">
        <v>0.1914</v>
      </c>
      <c r="S3252">
        <f>IMAGE("https://mitra.stanford.edu/kundaje/oak/projects/neuro-variants/variant_position/credible/roussos_2024/variant_figures/roussos_2024.childhood.Astrocyte/rs11743978_count_position.png",4,220,900)</f>
        <v/>
      </c>
      <c r="T3252">
        <f>IMAGE("https://mitra.stanford.edu/kundaje/oak/projects/neuro-variants/variant_position/credible/roussos_2024/variant_figures/roussos_2024.childhood.Astrocyte/rs11743978_profile_position.png",4,220,900)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0.00425364432</v>
      </c>
      <c r="G3253" t="n">
        <v>0.8660658181833633</v>
      </c>
      <c r="H3253" t="n">
        <v>0.0267677077746513</v>
      </c>
      <c r="I3253" t="n">
        <v>0.0456506456927979</v>
      </c>
      <c r="J3253" t="n">
        <v>0.003247006022303</v>
      </c>
      <c r="K3253" t="n">
        <v>0.8219771576153218</v>
      </c>
      <c r="L3253" t="b">
        <v>0</v>
      </c>
      <c r="M3253" t="b">
        <v>0</v>
      </c>
      <c r="N3253" t="inlineStr">
        <is>
          <t>alt</t>
        </is>
      </c>
      <c r="O3253" t="n">
        <v>30</v>
      </c>
      <c r="P3253" t="n">
        <v>0.00412</v>
      </c>
      <c r="Q3253" t="n">
        <v>95</v>
      </c>
      <c r="R3253" t="n">
        <v>0.01366</v>
      </c>
      <c r="S3253">
        <f>IMAGE("https://mitra.stanford.edu/kundaje/oak/projects/neuro-variants/variant_position/credible/roussos_2024/variant_figures/roussos_2024.childhood.Astrocyte/rs6449715_count_position.png",4,220,900)</f>
        <v/>
      </c>
      <c r="T3253">
        <f>IMAGE("https://mitra.stanford.edu/kundaje/oak/projects/neuro-variants/variant_position/credible/roussos_2024/variant_figures/roussos_2024.childhood.Astrocyte/rs6449715_profile_position.png",4,220,900)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-0.00110233454</v>
      </c>
      <c r="G3254" t="n">
        <v>0.5286163572232426</v>
      </c>
      <c r="H3254" t="n">
        <v>0.007147363589304</v>
      </c>
      <c r="I3254" t="n">
        <v>0.9518260852622372</v>
      </c>
      <c r="J3254" t="n">
        <v>0.0153801531145763</v>
      </c>
      <c r="K3254" t="n">
        <v>0.6512343155522148</v>
      </c>
      <c r="L3254" t="b">
        <v>0</v>
      </c>
      <c r="M3254" t="b">
        <v>0</v>
      </c>
      <c r="N3254" t="inlineStr">
        <is>
          <t>ref</t>
        </is>
      </c>
      <c r="O3254" t="n">
        <v>-100</v>
      </c>
      <c r="P3254" t="n">
        <v>0.007294</v>
      </c>
      <c r="Q3254" t="n">
        <v>-100</v>
      </c>
      <c r="R3254" t="n">
        <v>0.08434999999999999</v>
      </c>
      <c r="S3254">
        <f>IMAGE("https://mitra.stanford.edu/kundaje/oak/projects/neuro-variants/variant_position/credible/roussos_2024/variant_figures/roussos_2024.childhood.Astrocyte/rs1526875_count_position.png",4,220,900)</f>
        <v/>
      </c>
      <c r="T3254">
        <f>IMAGE("https://mitra.stanford.edu/kundaje/oak/projects/neuro-variants/variant_position/credible/roussos_2024/variant_figures/roussos_2024.childhood.Astrocyte/rs1526875_profile_position.png",4,220,900)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0.03630714292</v>
      </c>
      <c r="G3255" t="n">
        <v>0.3229024054872506</v>
      </c>
      <c r="H3255" t="n">
        <v>0.0302102756029684</v>
      </c>
      <c r="I3255" t="n">
        <v>0.0288439507180278</v>
      </c>
      <c r="J3255" t="n">
        <v>0.0040194484516803</v>
      </c>
      <c r="K3255" t="n">
        <v>0.8377143849742512</v>
      </c>
      <c r="L3255" t="b">
        <v>0</v>
      </c>
      <c r="M3255" t="b">
        <v>0</v>
      </c>
      <c r="N3255" t="inlineStr">
        <is>
          <t>alt</t>
        </is>
      </c>
      <c r="O3255" t="n">
        <v>-60</v>
      </c>
      <c r="P3255" t="n">
        <v>0.0008809999999999999</v>
      </c>
      <c r="Q3255" t="n">
        <v>-100</v>
      </c>
      <c r="R3255" t="n">
        <v>0.1774</v>
      </c>
      <c r="S3255">
        <f>IMAGE("https://mitra.stanford.edu/kundaje/oak/projects/neuro-variants/variant_position/credible/roussos_2024/variant_figures/roussos_2024.childhood.Astrocyte/rs7732201_count_position.png",4,220,900)</f>
        <v/>
      </c>
      <c r="T3255">
        <f>IMAGE("https://mitra.stanford.edu/kundaje/oak/projects/neuro-variants/variant_position/credible/roussos_2024/variant_figures/roussos_2024.childhood.Astrocyte/rs7732201_profile_position.png",4,220,900)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0.00142226024</v>
      </c>
      <c r="G3256" t="n">
        <v>0.8996968179049154</v>
      </c>
      <c r="H3256" t="n">
        <v>0.030384594816636</v>
      </c>
      <c r="I3256" t="n">
        <v>0.0284821500725024</v>
      </c>
      <c r="J3256" t="n">
        <v>0.018314213093357</v>
      </c>
      <c r="K3256" t="n">
        <v>0.6122241468446268</v>
      </c>
      <c r="L3256" t="b">
        <v>0</v>
      </c>
      <c r="M3256" t="b">
        <v>0</v>
      </c>
      <c r="N3256" t="inlineStr">
        <is>
          <t>alt</t>
        </is>
      </c>
      <c r="O3256" t="n">
        <v>-5</v>
      </c>
      <c r="P3256" t="n">
        <v>0.0001831</v>
      </c>
      <c r="Q3256" t="n">
        <v>10</v>
      </c>
      <c r="R3256" t="n">
        <v>0.01604</v>
      </c>
      <c r="S3256">
        <f>IMAGE("https://mitra.stanford.edu/kundaje/oak/projects/neuro-variants/variant_position/credible/roussos_2024/variant_figures/roussos_2024.childhood.Astrocyte/rs10056417_count_position.png",4,220,900)</f>
        <v/>
      </c>
      <c r="T3256">
        <f>IMAGE("https://mitra.stanford.edu/kundaje/oak/projects/neuro-variants/variant_position/credible/roussos_2024/variant_figures/roussos_2024.childhood.Astrocyte/rs10056417_profile_position.png",4,220,900)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-0.0552144148</v>
      </c>
      <c r="G3257" t="n">
        <v>0.1871156267848785</v>
      </c>
      <c r="H3257" t="n">
        <v>0.0135147269788497</v>
      </c>
      <c r="I3257" t="n">
        <v>0.3957367189236509</v>
      </c>
      <c r="J3257" t="n">
        <v>0.0003457672139405</v>
      </c>
      <c r="K3257" t="n">
        <v>0.9603696273641338</v>
      </c>
      <c r="L3257" t="b">
        <v>0</v>
      </c>
      <c r="M3257" t="b">
        <v>0</v>
      </c>
      <c r="N3257" t="inlineStr">
        <is>
          <t>ref</t>
        </is>
      </c>
      <c r="O3257" t="n">
        <v>70</v>
      </c>
      <c r="P3257" t="n">
        <v>0.00522</v>
      </c>
      <c r="Q3257" t="n">
        <v>65</v>
      </c>
      <c r="R3257" t="n">
        <v>0.04636</v>
      </c>
      <c r="S3257">
        <f>IMAGE("https://mitra.stanford.edu/kundaje/oak/projects/neuro-variants/variant_position/credible/roussos_2024/variant_figures/roussos_2024.childhood.Astrocyte/rs28615727_count_position.png",4,220,900)</f>
        <v/>
      </c>
      <c r="T3257">
        <f>IMAGE("https://mitra.stanford.edu/kundaje/oak/projects/neuro-variants/variant_position/credible/roussos_2024/variant_figures/roussos_2024.childhood.Astrocyte/rs28615727_profile_position.png",4,220,900)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-0.0366969762</v>
      </c>
      <c r="G3258" t="n">
        <v>0.3157612787974305</v>
      </c>
      <c r="H3258" t="n">
        <v>0.0080754481264239</v>
      </c>
      <c r="I3258" t="n">
        <v>0.8996362607580394</v>
      </c>
      <c r="J3258" t="n">
        <v>0.0003114194774563</v>
      </c>
      <c r="K3258" t="n">
        <v>0.968829672128792</v>
      </c>
      <c r="L3258" t="b">
        <v>0</v>
      </c>
      <c r="M3258" t="b">
        <v>0</v>
      </c>
      <c r="N3258" t="inlineStr">
        <is>
          <t>ref</t>
        </is>
      </c>
      <c r="O3258" t="n">
        <v>100</v>
      </c>
      <c r="P3258" t="n">
        <v>0.4194</v>
      </c>
      <c r="Q3258" t="n">
        <v>100</v>
      </c>
      <c r="R3258" t="n">
        <v>0.04877</v>
      </c>
      <c r="S3258">
        <f>IMAGE("https://mitra.stanford.edu/kundaje/oak/projects/neuro-variants/variant_position/credible/roussos_2024/variant_figures/roussos_2024.childhood.Astrocyte/rs6449731_count_position.png",4,220,900)</f>
        <v/>
      </c>
      <c r="T3258">
        <f>IMAGE("https://mitra.stanford.edu/kundaje/oak/projects/neuro-variants/variant_position/credible/roussos_2024/variant_figures/roussos_2024.childhood.Astrocyte/rs6449731_profile_position.png",4,220,900)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0.0054665223399999</v>
      </c>
      <c r="G3259" t="n">
        <v>0.7869734366492643</v>
      </c>
      <c r="H3259" t="n">
        <v>0.0289455904679631</v>
      </c>
      <c r="I3259" t="n">
        <v>0.0344600571199694</v>
      </c>
      <c r="J3259" t="n">
        <v>0.0008228191095539</v>
      </c>
      <c r="K3259" t="n">
        <v>0.9198987688979831</v>
      </c>
      <c r="L3259" t="b">
        <v>0</v>
      </c>
      <c r="M3259" t="b">
        <v>0</v>
      </c>
      <c r="N3259" t="inlineStr">
        <is>
          <t>alt</t>
        </is>
      </c>
      <c r="O3259" t="n">
        <v>-95</v>
      </c>
      <c r="P3259" t="n">
        <v>0.02435</v>
      </c>
      <c r="Q3259" t="n">
        <v>65</v>
      </c>
      <c r="R3259" t="n">
        <v>0.04016</v>
      </c>
      <c r="S3259">
        <f>IMAGE("https://mitra.stanford.edu/kundaje/oak/projects/neuro-variants/variant_position/credible/roussos_2024/variant_figures/roussos_2024.childhood.Astrocyte/rs11949865_count_position.png",4,220,900)</f>
        <v/>
      </c>
      <c r="T3259">
        <f>IMAGE("https://mitra.stanford.edu/kundaje/oak/projects/neuro-variants/variant_position/credible/roussos_2024/variant_figures/roussos_2024.childhood.Astrocyte/rs11949865_profile_position.png",4,220,900)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-0.00627066618</v>
      </c>
      <c r="G3260" t="n">
        <v>0.3321182794103394</v>
      </c>
      <c r="H3260" t="n">
        <v>0.009547628971755699</v>
      </c>
      <c r="I3260" t="n">
        <v>0.7480292361819074</v>
      </c>
      <c r="J3260" t="n">
        <v>0.010124186149466</v>
      </c>
      <c r="K3260" t="n">
        <v>0.7066986413868073</v>
      </c>
      <c r="L3260" t="b">
        <v>0</v>
      </c>
      <c r="M3260" t="b">
        <v>0</v>
      </c>
      <c r="N3260" t="inlineStr">
        <is>
          <t>ref</t>
        </is>
      </c>
      <c r="O3260" t="n">
        <v>-90</v>
      </c>
      <c r="P3260" t="n">
        <v>0.0242</v>
      </c>
      <c r="Q3260" t="n">
        <v>75</v>
      </c>
      <c r="R3260" t="n">
        <v>0.01904</v>
      </c>
      <c r="S3260">
        <f>IMAGE("https://mitra.stanford.edu/kundaje/oak/projects/neuro-variants/variant_position/credible/roussos_2024/variant_figures/roussos_2024.childhood.Astrocyte/rs4084594_count_position.png",4,220,900)</f>
        <v/>
      </c>
      <c r="T3260">
        <f>IMAGE("https://mitra.stanford.edu/kundaje/oak/projects/neuro-variants/variant_position/credible/roussos_2024/variant_figures/roussos_2024.childhood.Astrocyte/rs4084594_profile_position.png",4,220,900)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-0.0341292012</v>
      </c>
      <c r="G3261" t="n">
        <v>0.3448131054960237</v>
      </c>
      <c r="H3261" t="n">
        <v>0.0307792651935487</v>
      </c>
      <c r="I3261" t="n">
        <v>0.0269553232006256</v>
      </c>
      <c r="J3261" t="n">
        <v>0.0117560852739803</v>
      </c>
      <c r="K3261" t="n">
        <v>0.6709430797790803</v>
      </c>
      <c r="L3261" t="b">
        <v>0</v>
      </c>
      <c r="M3261" t="b">
        <v>0</v>
      </c>
      <c r="N3261" t="inlineStr">
        <is>
          <t>ref</t>
        </is>
      </c>
      <c r="O3261" t="n">
        <v>50</v>
      </c>
      <c r="P3261" t="n">
        <v>0.003609</v>
      </c>
      <c r="Q3261" t="n">
        <v>100</v>
      </c>
      <c r="R3261" t="n">
        <v>0.08295</v>
      </c>
      <c r="S3261">
        <f>IMAGE("https://mitra.stanford.edu/kundaje/oak/projects/neuro-variants/variant_position/credible/roussos_2024/variant_figures/roussos_2024.childhood.Astrocyte/rs7735729_count_position.png",4,220,900)</f>
        <v/>
      </c>
      <c r="T3261">
        <f>IMAGE("https://mitra.stanford.edu/kundaje/oak/projects/neuro-variants/variant_position/credible/roussos_2024/variant_figures/roussos_2024.childhood.Astrocyte/rs7735729_profile_position.png",4,220,900)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-0.045451007</v>
      </c>
      <c r="G3262" t="n">
        <v>0.2532656682166244</v>
      </c>
      <c r="H3262" t="n">
        <v>0.032334369413821</v>
      </c>
      <c r="I3262" t="n">
        <v>0.0221587781626795</v>
      </c>
      <c r="J3262" t="n">
        <v>4.121728378099883e-05</v>
      </c>
      <c r="K3262" t="n">
        <v>0.9949039074471741</v>
      </c>
      <c r="L3262" t="b">
        <v>0</v>
      </c>
      <c r="M3262" t="b">
        <v>0</v>
      </c>
      <c r="N3262" t="inlineStr">
        <is>
          <t>ref</t>
        </is>
      </c>
      <c r="O3262" t="n">
        <v>55</v>
      </c>
      <c r="P3262" t="n">
        <v>0.003197</v>
      </c>
      <c r="Q3262" t="n">
        <v>-80</v>
      </c>
      <c r="R3262" t="n">
        <v>0.07996</v>
      </c>
      <c r="S3262">
        <f>IMAGE("https://mitra.stanford.edu/kundaje/oak/projects/neuro-variants/variant_position/credible/roussos_2024/variant_figures/roussos_2024.childhood.Astrocyte/rs7736758_count_position.png",4,220,900)</f>
        <v/>
      </c>
      <c r="T3262">
        <f>IMAGE("https://mitra.stanford.edu/kundaje/oak/projects/neuro-variants/variant_position/credible/roussos_2024/variant_figures/roussos_2024.childhood.Astrocyte/rs7736758_profile_position.png",4,220,900)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0.0210311483</v>
      </c>
      <c r="G3263" t="n">
        <v>0.5028662014057279</v>
      </c>
      <c r="H3263" t="n">
        <v>0.0194929177713431</v>
      </c>
      <c r="I3263" t="n">
        <v>0.1391172440533661</v>
      </c>
      <c r="J3263" t="n">
        <v>0.0038835840718096</v>
      </c>
      <c r="K3263" t="n">
        <v>0.8015053154981077</v>
      </c>
      <c r="L3263" t="b">
        <v>0</v>
      </c>
      <c r="M3263" t="b">
        <v>0</v>
      </c>
      <c r="N3263" t="inlineStr">
        <is>
          <t>alt</t>
        </is>
      </c>
      <c r="O3263" t="n">
        <v>-10</v>
      </c>
      <c r="P3263" t="n">
        <v>0.000639</v>
      </c>
      <c r="Q3263" t="n">
        <v>-95</v>
      </c>
      <c r="R3263" t="n">
        <v>0.0916</v>
      </c>
      <c r="S3263">
        <f>IMAGE("https://mitra.stanford.edu/kundaje/oak/projects/neuro-variants/variant_position/credible/roussos_2024/variant_figures/roussos_2024.childhood.Astrocyte/rs4470714_count_position.png",4,220,900)</f>
        <v/>
      </c>
      <c r="T3263">
        <f>IMAGE("https://mitra.stanford.edu/kundaje/oak/projects/neuro-variants/variant_position/credible/roussos_2024/variant_figures/roussos_2024.childhood.Astrocyte/rs4470714_profile_position.png",4,220,900)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-0.001955245808</v>
      </c>
      <c r="G3264" t="n">
        <v>0.8897180523896561</v>
      </c>
      <c r="H3264" t="n">
        <v>0.023914398216925</v>
      </c>
      <c r="I3264" t="n">
        <v>0.07005568059131941</v>
      </c>
      <c r="J3264" t="n">
        <v>0.0530611466037721</v>
      </c>
      <c r="K3264" t="n">
        <v>0.4600407112212663</v>
      </c>
      <c r="L3264" t="b">
        <v>0</v>
      </c>
      <c r="M3264" t="b">
        <v>0</v>
      </c>
      <c r="N3264" t="inlineStr">
        <is>
          <t>ref</t>
        </is>
      </c>
      <c r="O3264" t="n">
        <v>100</v>
      </c>
      <c r="P3264" t="n">
        <v>0.02295</v>
      </c>
      <c r="Q3264" t="n">
        <v>100</v>
      </c>
      <c r="R3264" t="n">
        <v>0.2307</v>
      </c>
      <c r="S3264">
        <f>IMAGE("https://mitra.stanford.edu/kundaje/oak/projects/neuro-variants/variant_position/credible/roussos_2024/variant_figures/roussos_2024.childhood.Astrocyte/rs1903305_count_position.png",4,220,900)</f>
        <v/>
      </c>
      <c r="T3264">
        <f>IMAGE("https://mitra.stanford.edu/kundaje/oak/projects/neuro-variants/variant_position/credible/roussos_2024/variant_figures/roussos_2024.childhood.Astrocyte/rs1903305_profile_position.png",4,220,900)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-0.0280535272</v>
      </c>
      <c r="G3265" t="n">
        <v>0.4271313928626246</v>
      </c>
      <c r="H3265" t="n">
        <v>0.0365611966223313</v>
      </c>
      <c r="I3265" t="n">
        <v>0.0144602986682004</v>
      </c>
      <c r="J3265" t="n">
        <v>0.009190691000129699</v>
      </c>
      <c r="K3265" t="n">
        <v>0.715175955730336</v>
      </c>
      <c r="L3265" t="b">
        <v>0</v>
      </c>
      <c r="M3265" t="b">
        <v>0</v>
      </c>
      <c r="N3265" t="inlineStr">
        <is>
          <t>ref</t>
        </is>
      </c>
      <c r="O3265" t="n">
        <v>40</v>
      </c>
      <c r="P3265" t="n">
        <v>0.014404</v>
      </c>
      <c r="Q3265" t="n">
        <v>-100</v>
      </c>
      <c r="R3265" t="n">
        <v>0.0994</v>
      </c>
      <c r="S3265">
        <f>IMAGE("https://mitra.stanford.edu/kundaje/oak/projects/neuro-variants/variant_position/credible/roussos_2024/variant_figures/roussos_2024.childhood.Astrocyte/rs75930101_count_position.png",4,220,900)</f>
        <v/>
      </c>
      <c r="T3265">
        <f>IMAGE("https://mitra.stanford.edu/kundaje/oak/projects/neuro-variants/variant_position/credible/roussos_2024/variant_figures/roussos_2024.childhood.Astrocyte/rs75930101_profile_position.png",4,220,900)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0.00048937812</v>
      </c>
      <c r="G3266" t="n">
        <v>0.6078923600663453</v>
      </c>
      <c r="H3266" t="n">
        <v>0.0114915112747406</v>
      </c>
      <c r="I3266" t="n">
        <v>0.5675214655501249</v>
      </c>
      <c r="J3266" t="n">
        <v>0.1841664567638325</v>
      </c>
      <c r="K3266" t="n">
        <v>0.2184561158269171</v>
      </c>
      <c r="L3266" t="b">
        <v>0</v>
      </c>
      <c r="M3266" t="b">
        <v>0</v>
      </c>
      <c r="N3266" t="inlineStr">
        <is>
          <t>alt</t>
        </is>
      </c>
      <c r="O3266" t="n">
        <v>55</v>
      </c>
      <c r="P3266" t="n">
        <v>0.00675</v>
      </c>
      <c r="Q3266" t="n">
        <v>-100</v>
      </c>
      <c r="R3266" t="n">
        <v>0.1506</v>
      </c>
      <c r="S3266">
        <f>IMAGE("https://mitra.stanford.edu/kundaje/oak/projects/neuro-variants/variant_position/credible/roussos_2024/variant_figures/roussos_2024.childhood.Astrocyte/rs17508283_count_position.png",4,220,900)</f>
        <v/>
      </c>
      <c r="T3266">
        <f>IMAGE("https://mitra.stanford.edu/kundaje/oak/projects/neuro-variants/variant_position/credible/roussos_2024/variant_figures/roussos_2024.childhood.Astrocyte/rs17508283_profile_position.png",4,220,900)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-0.009924316379999999</v>
      </c>
      <c r="G3267" t="n">
        <v>0.7322982723244739</v>
      </c>
      <c r="H3267" t="n">
        <v>0.0214417355386595</v>
      </c>
      <c r="I3267" t="n">
        <v>0.09975948804168509</v>
      </c>
      <c r="J3267" t="n">
        <v>0.006913054429713</v>
      </c>
      <c r="K3267" t="n">
        <v>0.7364322921208974</v>
      </c>
      <c r="L3267" t="b">
        <v>0</v>
      </c>
      <c r="M3267" t="b">
        <v>0</v>
      </c>
      <c r="N3267" t="inlineStr">
        <is>
          <t>ref</t>
        </is>
      </c>
      <c r="O3267" t="n">
        <v>35</v>
      </c>
      <c r="P3267" t="n">
        <v>0.02936</v>
      </c>
      <c r="Q3267" t="n">
        <v>-100</v>
      </c>
      <c r="R3267" t="n">
        <v>0.0273</v>
      </c>
      <c r="S3267">
        <f>IMAGE("https://mitra.stanford.edu/kundaje/oak/projects/neuro-variants/variant_position/credible/roussos_2024/variant_figures/roussos_2024.childhood.Astrocyte/rs12109397_count_position.png",4,220,900)</f>
        <v/>
      </c>
      <c r="T3267">
        <f>IMAGE("https://mitra.stanford.edu/kundaje/oak/projects/neuro-variants/variant_position/credible/roussos_2024/variant_figures/roussos_2024.childhood.Astrocyte/rs12109397_profile_position.png",4,220,900)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-0.0059125401</v>
      </c>
      <c r="G3268" t="n">
        <v>0.5802506143703956</v>
      </c>
      <c r="H3268" t="n">
        <v>0.0101061402881877</v>
      </c>
      <c r="I3268" t="n">
        <v>0.6958663197058755</v>
      </c>
      <c r="J3268" t="n">
        <v>0.000534298123087</v>
      </c>
      <c r="K3268" t="n">
        <v>0.9352814507431946</v>
      </c>
      <c r="L3268" t="b">
        <v>0</v>
      </c>
      <c r="M3268" t="b">
        <v>0</v>
      </c>
      <c r="N3268" t="inlineStr">
        <is>
          <t>ref</t>
        </is>
      </c>
      <c r="O3268" t="n">
        <v>-35</v>
      </c>
      <c r="P3268" t="n">
        <v>0.00424</v>
      </c>
      <c r="Q3268" t="n">
        <v>75</v>
      </c>
      <c r="R3268" t="n">
        <v>0.1173</v>
      </c>
      <c r="S3268">
        <f>IMAGE("https://mitra.stanford.edu/kundaje/oak/projects/neuro-variants/variant_position/credible/roussos_2024/variant_figures/roussos_2024.childhood.Astrocyte/rs10070532_count_position.png",4,220,900)</f>
        <v/>
      </c>
      <c r="T3268">
        <f>IMAGE("https://mitra.stanford.edu/kundaje/oak/projects/neuro-variants/variant_position/credible/roussos_2024/variant_figures/roussos_2024.childhood.Astrocyte/rs10070532_profile_position.png",4,220,900)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0.0396512562</v>
      </c>
      <c r="G3269" t="n">
        <v>0.279856866102361</v>
      </c>
      <c r="H3269" t="n">
        <v>0.0605885256145762</v>
      </c>
      <c r="I3269" t="n">
        <v>0.0020025961506213</v>
      </c>
      <c r="J3269" t="n">
        <v>0.0064650072893529</v>
      </c>
      <c r="K3269" t="n">
        <v>0.7521451702240314</v>
      </c>
      <c r="L3269" t="b">
        <v>0</v>
      </c>
      <c r="M3269" t="b">
        <v>0</v>
      </c>
      <c r="N3269" t="inlineStr">
        <is>
          <t>alt</t>
        </is>
      </c>
      <c r="O3269" t="n">
        <v>-80</v>
      </c>
      <c r="P3269" t="n">
        <v>0.02686</v>
      </c>
      <c r="Q3269" t="n">
        <v>-85</v>
      </c>
      <c r="R3269" t="n">
        <v>0.146</v>
      </c>
      <c r="S3269">
        <f>IMAGE("https://mitra.stanford.edu/kundaje/oak/projects/neuro-variants/variant_position/credible/roussos_2024/variant_figures/roussos_2024.childhood.Astrocyte/rs2939257_count_position.png",4,220,900)</f>
        <v/>
      </c>
      <c r="T3269">
        <f>IMAGE("https://mitra.stanford.edu/kundaje/oak/projects/neuro-variants/variant_position/credible/roussos_2024/variant_figures/roussos_2024.childhood.Astrocyte/rs2939257_profile_position.png",4,220,900)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0.1367881664</v>
      </c>
      <c r="G3270" t="n">
        <v>0.0437094003590197</v>
      </c>
      <c r="H3270" t="n">
        <v>0.0230836381017516</v>
      </c>
      <c r="I3270" t="n">
        <v>0.080734682927394</v>
      </c>
      <c r="J3270" t="n">
        <v>0.3096608733484463</v>
      </c>
      <c r="K3270" t="n">
        <v>0.1284578366895307</v>
      </c>
      <c r="L3270" t="b">
        <v>0</v>
      </c>
      <c r="M3270" t="b">
        <v>0</v>
      </c>
      <c r="N3270" t="inlineStr">
        <is>
          <t>alt</t>
        </is>
      </c>
      <c r="O3270" t="n">
        <v>-45</v>
      </c>
      <c r="P3270" t="n">
        <v>0.02771</v>
      </c>
      <c r="Q3270" t="n">
        <v>5</v>
      </c>
      <c r="R3270" t="n">
        <v>0.02051</v>
      </c>
      <c r="S3270">
        <f>IMAGE("https://mitra.stanford.edu/kundaje/oak/projects/neuro-variants/variant_position/credible/roussos_2024/variant_figures/roussos_2024.childhood.Astrocyte/rs2935244_count_position.png",4,220,900)</f>
        <v/>
      </c>
      <c r="T3270">
        <f>IMAGE("https://mitra.stanford.edu/kundaje/oak/projects/neuro-variants/variant_position/credible/roussos_2024/variant_figures/roussos_2024.childhood.Astrocyte/rs2935244_profile_position.png",4,220,900)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-0.0189208688</v>
      </c>
      <c r="G3271" t="n">
        <v>0.5500867475802955</v>
      </c>
      <c r="H3271" t="n">
        <v>0.0253052556321388</v>
      </c>
      <c r="I3271" t="n">
        <v>0.0556087046827468</v>
      </c>
      <c r="J3271" t="n">
        <v>0.1081136986405928</v>
      </c>
      <c r="K3271" t="n">
        <v>0.3155186240821981</v>
      </c>
      <c r="L3271" t="b">
        <v>0</v>
      </c>
      <c r="M3271" t="b">
        <v>0</v>
      </c>
      <c r="N3271" t="inlineStr">
        <is>
          <t>ref</t>
        </is>
      </c>
      <c r="O3271" t="n">
        <v>-100</v>
      </c>
      <c r="P3271" t="n">
        <v>0.03983</v>
      </c>
      <c r="Q3271" t="n">
        <v>-100</v>
      </c>
      <c r="R3271" t="n">
        <v>0.5864</v>
      </c>
      <c r="S3271">
        <f>IMAGE("https://mitra.stanford.edu/kundaje/oak/projects/neuro-variants/variant_position/credible/roussos_2024/variant_figures/roussos_2024.childhood.Astrocyte/rs2973827_count_position.png",4,220,900)</f>
        <v/>
      </c>
      <c r="T3271">
        <f>IMAGE("https://mitra.stanford.edu/kundaje/oak/projects/neuro-variants/variant_position/credible/roussos_2024/variant_figures/roussos_2024.childhood.Astrocyte/rs2973827_profile_position.png",4,220,900)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0.0093043667955999</v>
      </c>
      <c r="G3272" t="n">
        <v>0.6122689718648342</v>
      </c>
      <c r="H3272" t="n">
        <v>0.0098175043580098</v>
      </c>
      <c r="I3272" t="n">
        <v>0.7090802265720373</v>
      </c>
      <c r="J3272" t="n">
        <v>0.0027371329562714</v>
      </c>
      <c r="K3272" t="n">
        <v>0.8367041583175272</v>
      </c>
      <c r="L3272" t="b">
        <v>0</v>
      </c>
      <c r="M3272" t="b">
        <v>0</v>
      </c>
      <c r="N3272" t="inlineStr">
        <is>
          <t>alt</t>
        </is>
      </c>
      <c r="O3272" t="n">
        <v>-85</v>
      </c>
      <c r="P3272" t="n">
        <v>0.01854</v>
      </c>
      <c r="Q3272" t="n">
        <v>-80</v>
      </c>
      <c r="R3272" t="n">
        <v>0.10986</v>
      </c>
      <c r="S3272">
        <f>IMAGE("https://mitra.stanford.edu/kundaje/oak/projects/neuro-variants/variant_position/credible/roussos_2024/variant_figures/roussos_2024.childhood.Astrocyte/rs2939246_count_position.png",4,220,900)</f>
        <v/>
      </c>
      <c r="T3272">
        <f>IMAGE("https://mitra.stanford.edu/kundaje/oak/projects/neuro-variants/variant_position/credible/roussos_2024/variant_figures/roussos_2024.childhood.Astrocyte/rs2939246_profile_position.png",4,220,900)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0.0049525838339999</v>
      </c>
      <c r="G3273" t="n">
        <v>0.8231433751540432</v>
      </c>
      <c r="H3273" t="n">
        <v>0.0412199560895678</v>
      </c>
      <c r="I3273" t="n">
        <v>0.0084986021726701</v>
      </c>
      <c r="J3273" t="n">
        <v>6.869547296833138e-05</v>
      </c>
      <c r="K3273" t="n">
        <v>0.9897613692884945</v>
      </c>
      <c r="L3273" t="b">
        <v>0</v>
      </c>
      <c r="M3273" t="b">
        <v>0</v>
      </c>
      <c r="N3273" t="inlineStr">
        <is>
          <t>alt</t>
        </is>
      </c>
      <c r="O3273" t="n">
        <v>40</v>
      </c>
      <c r="P3273" t="n">
        <v>0.00592</v>
      </c>
      <c r="Q3273" t="n">
        <v>-20</v>
      </c>
      <c r="R3273" t="n">
        <v>0.03223</v>
      </c>
      <c r="S3273">
        <f>IMAGE("https://mitra.stanford.edu/kundaje/oak/projects/neuro-variants/variant_position/credible/roussos_2024/variant_figures/roussos_2024.childhood.Astrocyte/rs2973829_count_position.png",4,220,900)</f>
        <v/>
      </c>
      <c r="T3273">
        <f>IMAGE("https://mitra.stanford.edu/kundaje/oak/projects/neuro-variants/variant_position/credible/roussos_2024/variant_figures/roussos_2024.childhood.Astrocyte/rs2973829_profile_position.png",4,220,900)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0.0047975097399999</v>
      </c>
      <c r="G3274" t="n">
        <v>0.7761214023723116</v>
      </c>
      <c r="H3274" t="n">
        <v>0.0086795048499059</v>
      </c>
      <c r="I3274" t="n">
        <v>0.8435906318947385</v>
      </c>
      <c r="J3274" t="n">
        <v>0.0001167823040461</v>
      </c>
      <c r="K3274" t="n">
        <v>0.9842905901994264</v>
      </c>
      <c r="L3274" t="b">
        <v>0</v>
      </c>
      <c r="M3274" t="b">
        <v>0</v>
      </c>
      <c r="N3274" t="inlineStr">
        <is>
          <t>alt</t>
        </is>
      </c>
      <c r="O3274" t="n">
        <v>-10</v>
      </c>
      <c r="P3274" t="n">
        <v>0.0009384</v>
      </c>
      <c r="Q3274" t="n">
        <v>85</v>
      </c>
      <c r="R3274" t="n">
        <v>0.08373999999999999</v>
      </c>
      <c r="S3274">
        <f>IMAGE("https://mitra.stanford.edu/kundaje/oak/projects/neuro-variants/variant_position/credible/roussos_2024/variant_figures/roussos_2024.childhood.Astrocyte/rs2973831_count_position.png",4,220,900)</f>
        <v/>
      </c>
      <c r="T3274">
        <f>IMAGE("https://mitra.stanford.edu/kundaje/oak/projects/neuro-variants/variant_position/credible/roussos_2024/variant_figures/roussos_2024.childhood.Astrocyte/rs2973831_profile_position.png",4,220,900)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0.037202795</v>
      </c>
      <c r="G3275" t="n">
        <v>0.304986981241762</v>
      </c>
      <c r="H3275" t="n">
        <v>0.0154301269506542</v>
      </c>
      <c r="I3275" t="n">
        <v>0.2738940248884282</v>
      </c>
      <c r="J3275" t="n">
        <v>0.0704510239441887</v>
      </c>
      <c r="K3275" t="n">
        <v>0.3869258514515857</v>
      </c>
      <c r="L3275" t="b">
        <v>0</v>
      </c>
      <c r="M3275" t="b">
        <v>0</v>
      </c>
      <c r="N3275" t="inlineStr">
        <is>
          <t>alt</t>
        </is>
      </c>
      <c r="O3275" t="n">
        <v>75</v>
      </c>
      <c r="P3275" t="n">
        <v>0.009705</v>
      </c>
      <c r="Q3275" t="n">
        <v>-85</v>
      </c>
      <c r="R3275" t="n">
        <v>0.09644</v>
      </c>
      <c r="S3275">
        <f>IMAGE("https://mitra.stanford.edu/kundaje/oak/projects/neuro-variants/variant_position/credible/roussos_2024/variant_figures/roussos_2024.childhood.Astrocyte/rs9327836_count_position.png",4,220,900)</f>
        <v/>
      </c>
      <c r="T3275">
        <f>IMAGE("https://mitra.stanford.edu/kundaje/oak/projects/neuro-variants/variant_position/credible/roussos_2024/variant_figures/roussos_2024.childhood.Astrocyte/rs9327836_profile_position.png",4,220,900)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0.0836895332</v>
      </c>
      <c r="G3276" t="n">
        <v>0.1027586720884943</v>
      </c>
      <c r="H3276" t="n">
        <v>0.0227708164810775</v>
      </c>
      <c r="I3276" t="n">
        <v>0.08172771897442919</v>
      </c>
      <c r="J3276" t="n">
        <v>0.2091029134513368</v>
      </c>
      <c r="K3276" t="n">
        <v>0.1948928704681679</v>
      </c>
      <c r="L3276" t="b">
        <v>0</v>
      </c>
      <c r="M3276" t="b">
        <v>0</v>
      </c>
      <c r="N3276" t="inlineStr">
        <is>
          <t>alt</t>
        </is>
      </c>
      <c r="O3276" t="n">
        <v>20</v>
      </c>
      <c r="P3276" t="n">
        <v>0.00461</v>
      </c>
      <c r="Q3276" t="n">
        <v>25</v>
      </c>
      <c r="R3276" t="n">
        <v>0.1339</v>
      </c>
      <c r="S3276">
        <f>IMAGE("https://mitra.stanford.edu/kundaje/oak/projects/neuro-variants/variant_position/credible/roussos_2024/variant_figures/roussos_2024.childhood.Astrocyte/rs6884162_count_position.png",4,220,900)</f>
        <v/>
      </c>
      <c r="T3276">
        <f>IMAGE("https://mitra.stanford.edu/kundaje/oak/projects/neuro-variants/variant_position/credible/roussos_2024/variant_figures/roussos_2024.childhood.Astrocyte/rs6884162_profile_position.png",4,220,900)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0.0237988937</v>
      </c>
      <c r="G3277" t="n">
        <v>0.456692777957866</v>
      </c>
      <c r="H3277" t="n">
        <v>0.017611822608872</v>
      </c>
      <c r="I3277" t="n">
        <v>0.1911172216560351</v>
      </c>
      <c r="J3277" t="n">
        <v>0.1082159785670124</v>
      </c>
      <c r="K3277" t="n">
        <v>0.310968994896135</v>
      </c>
      <c r="L3277" t="b">
        <v>0</v>
      </c>
      <c r="M3277" t="b">
        <v>0</v>
      </c>
      <c r="N3277" t="inlineStr">
        <is>
          <t>alt</t>
        </is>
      </c>
      <c r="O3277" t="n">
        <v>-40</v>
      </c>
      <c r="P3277" t="n">
        <v>0.008800000000000001</v>
      </c>
      <c r="Q3277" t="n">
        <v>-70</v>
      </c>
      <c r="R3277" t="n">
        <v>0.12244</v>
      </c>
      <c r="S3277">
        <f>IMAGE("https://mitra.stanford.edu/kundaje/oak/projects/neuro-variants/variant_position/credible/roussos_2024/variant_figures/roussos_2024.childhood.Astrocyte/rs1452060_count_position.png",4,220,900)</f>
        <v/>
      </c>
      <c r="T3277">
        <f>IMAGE("https://mitra.stanford.edu/kundaje/oak/projects/neuro-variants/variant_position/credible/roussos_2024/variant_figures/roussos_2024.childhood.Astrocyte/rs1452060_profile_position.png",4,220,900)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-0.011011457</v>
      </c>
      <c r="G3278" t="n">
        <v>0.1411267197908743</v>
      </c>
      <c r="H3278" t="n">
        <v>0.0206411032854084</v>
      </c>
      <c r="I3278" t="n">
        <v>0.1217547280505088</v>
      </c>
      <c r="J3278" t="n">
        <v>0.0155961622129101</v>
      </c>
      <c r="K3278" t="n">
        <v>0.6516415192363312</v>
      </c>
      <c r="L3278" t="b">
        <v>0</v>
      </c>
      <c r="M3278" t="b">
        <v>0</v>
      </c>
      <c r="N3278" t="inlineStr">
        <is>
          <t>ref</t>
        </is>
      </c>
      <c r="O3278" t="n">
        <v>40</v>
      </c>
      <c r="P3278" t="n">
        <v>2.1e-05</v>
      </c>
      <c r="Q3278" t="n">
        <v>60</v>
      </c>
      <c r="R3278" t="n">
        <v>0.01613</v>
      </c>
      <c r="S3278">
        <f>IMAGE("https://mitra.stanford.edu/kundaje/oak/projects/neuro-variants/variant_position/credible/roussos_2024/variant_figures/roussos_2024.childhood.Astrocyte/rs1869103_count_position.png",4,220,900)</f>
        <v/>
      </c>
      <c r="T3278">
        <f>IMAGE("https://mitra.stanford.edu/kundaje/oak/projects/neuro-variants/variant_position/credible/roussos_2024/variant_figures/roussos_2024.childhood.Astrocyte/rs1869103_profile_position.png",4,220,900)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0.02913417588</v>
      </c>
      <c r="G3279" t="n">
        <v>0.3938300584767069</v>
      </c>
      <c r="H3279" t="n">
        <v>0.0130485986733707</v>
      </c>
      <c r="I3279" t="n">
        <v>0.4126459693140369</v>
      </c>
      <c r="J3279" t="n">
        <v>0.0007296985795302</v>
      </c>
      <c r="K3279" t="n">
        <v>0.9220664560422236</v>
      </c>
      <c r="L3279" t="b">
        <v>0</v>
      </c>
      <c r="M3279" t="b">
        <v>0</v>
      </c>
      <c r="N3279" t="inlineStr">
        <is>
          <t>alt</t>
        </is>
      </c>
      <c r="O3279" t="n">
        <v>100</v>
      </c>
      <c r="P3279" t="n">
        <v>0.004883</v>
      </c>
      <c r="Q3279" t="n">
        <v>80</v>
      </c>
      <c r="R3279" t="n">
        <v>0.05783</v>
      </c>
      <c r="S3279">
        <f>IMAGE("https://mitra.stanford.edu/kundaje/oak/projects/neuro-variants/variant_position/credible/roussos_2024/variant_figures/roussos_2024.childhood.Astrocyte/rs10079075_count_position.png",4,220,900)</f>
        <v/>
      </c>
      <c r="T3279">
        <f>IMAGE("https://mitra.stanford.edu/kundaje/oak/projects/neuro-variants/variant_position/credible/roussos_2024/variant_figures/roussos_2024.childhood.Astrocyte/rs10079075_profile_position.png",4,220,900)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0.022452325</v>
      </c>
      <c r="G3280" t="n">
        <v>0.4821698341596102</v>
      </c>
      <c r="H3280" t="n">
        <v>0.0113785181512505</v>
      </c>
      <c r="I3280" t="n">
        <v>0.5785769434421989</v>
      </c>
      <c r="J3280" t="n">
        <v>0.0004862112920091</v>
      </c>
      <c r="K3280" t="n">
        <v>0.9377631583446556</v>
      </c>
      <c r="L3280" t="b">
        <v>0</v>
      </c>
      <c r="M3280" t="b">
        <v>0</v>
      </c>
      <c r="N3280" t="inlineStr">
        <is>
          <t>alt</t>
        </is>
      </c>
      <c r="O3280" t="n">
        <v>95</v>
      </c>
      <c r="P3280" t="n">
        <v>0.01044</v>
      </c>
      <c r="Q3280" t="n">
        <v>-100</v>
      </c>
      <c r="R3280" t="n">
        <v>0.1321</v>
      </c>
      <c r="S3280">
        <f>IMAGE("https://mitra.stanford.edu/kundaje/oak/projects/neuro-variants/variant_position/credible/roussos_2024/variant_figures/roussos_2024.childhood.Astrocyte/rs1823693_count_position.png",4,220,900)</f>
        <v/>
      </c>
      <c r="T3280">
        <f>IMAGE("https://mitra.stanford.edu/kundaje/oak/projects/neuro-variants/variant_position/credible/roussos_2024/variant_figures/roussos_2024.childhood.Astrocyte/rs1823693_profile_position.png",4,220,900)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0.0347332768</v>
      </c>
      <c r="G3281" t="n">
        <v>0.2468029348283636</v>
      </c>
      <c r="H3281" t="n">
        <v>0.0164866060409824</v>
      </c>
      <c r="I3281" t="n">
        <v>0.2354494836744119</v>
      </c>
      <c r="J3281" t="n">
        <v>0.0015250394998968</v>
      </c>
      <c r="K3281" t="n">
        <v>0.8754890062201541</v>
      </c>
      <c r="L3281" t="b">
        <v>0</v>
      </c>
      <c r="M3281" t="b">
        <v>0</v>
      </c>
      <c r="N3281" t="inlineStr">
        <is>
          <t>alt</t>
        </is>
      </c>
      <c r="O3281" t="n">
        <v>-55</v>
      </c>
      <c r="P3281" t="n">
        <v>0.003708</v>
      </c>
      <c r="Q3281" t="n">
        <v>65</v>
      </c>
      <c r="R3281" t="n">
        <v>0.10895</v>
      </c>
      <c r="S3281">
        <f>IMAGE("https://mitra.stanford.edu/kundaje/oak/projects/neuro-variants/variant_position/credible/roussos_2024/variant_figures/roussos_2024.childhood.Astrocyte/rs1901510_count_position.png",4,220,900)</f>
        <v/>
      </c>
      <c r="T3281">
        <f>IMAGE("https://mitra.stanford.edu/kundaje/oak/projects/neuro-variants/variant_position/credible/roussos_2024/variant_figures/roussos_2024.childhood.Astrocyte/rs1901510_profile_position.png",4,220,900)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-0.0200113107999999</v>
      </c>
      <c r="G3282" t="n">
        <v>0.3930335695404257</v>
      </c>
      <c r="H3282" t="n">
        <v>0.0239497339301372</v>
      </c>
      <c r="I3282" t="n">
        <v>0.0680682129583796</v>
      </c>
      <c r="J3282" t="n">
        <v>0.0019135505636844</v>
      </c>
      <c r="K3282" t="n">
        <v>0.9024056714196694</v>
      </c>
      <c r="L3282" t="b">
        <v>0</v>
      </c>
      <c r="M3282" t="b">
        <v>0</v>
      </c>
      <c r="N3282" t="inlineStr">
        <is>
          <t>ref</t>
        </is>
      </c>
      <c r="O3282" t="n">
        <v>-65</v>
      </c>
      <c r="P3282" t="n">
        <v>0.004166</v>
      </c>
      <c r="Q3282" t="n">
        <v>-65</v>
      </c>
      <c r="R3282" t="n">
        <v>0.1938</v>
      </c>
      <c r="S3282">
        <f>IMAGE("https://mitra.stanford.edu/kundaje/oak/projects/neuro-variants/variant_position/credible/roussos_2024/variant_figures/roussos_2024.childhood.Astrocyte/rs2198246_count_position.png",4,220,900)</f>
        <v/>
      </c>
      <c r="T3282">
        <f>IMAGE("https://mitra.stanford.edu/kundaje/oak/projects/neuro-variants/variant_position/credible/roussos_2024/variant_figures/roussos_2024.childhood.Astrocyte/rs2198246_profile_position.png",4,220,900)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0.1318882736</v>
      </c>
      <c r="G3283" t="n">
        <v>0.0443541667310225</v>
      </c>
      <c r="H3283" t="n">
        <v>0.0243210905872164</v>
      </c>
      <c r="I3283" t="n">
        <v>0.0742335834669791</v>
      </c>
      <c r="J3283" t="n">
        <v>0.0100593070916626</v>
      </c>
      <c r="K3283" t="n">
        <v>0.6907559331206349</v>
      </c>
      <c r="L3283" t="b">
        <v>0</v>
      </c>
      <c r="M3283" t="b">
        <v>0</v>
      </c>
      <c r="N3283" t="inlineStr">
        <is>
          <t>alt</t>
        </is>
      </c>
      <c r="O3283" t="n">
        <v>-100</v>
      </c>
      <c r="P3283" t="n">
        <v>0.00647</v>
      </c>
      <c r="Q3283" t="n">
        <v>-5</v>
      </c>
      <c r="R3283" t="n">
        <v>0.001831</v>
      </c>
      <c r="S3283">
        <f>IMAGE("https://mitra.stanford.edu/kundaje/oak/projects/neuro-variants/variant_position/credible/roussos_2024/variant_figures/roussos_2024.childhood.Astrocyte/rs7718122_count_position.png",4,220,900)</f>
        <v/>
      </c>
      <c r="T3283">
        <f>IMAGE("https://mitra.stanford.edu/kundaje/oak/projects/neuro-variants/variant_position/credible/roussos_2024/variant_figures/roussos_2024.childhood.Astrocyte/rs7718122_profile_position.png",4,220,900)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-0.017420132846</v>
      </c>
      <c r="G3284" t="n">
        <v>0.5631012864293832</v>
      </c>
      <c r="H3284" t="n">
        <v>0.0100695006931857</v>
      </c>
      <c r="I3284" t="n">
        <v>0.7019143975709993</v>
      </c>
      <c r="J3284" t="n">
        <v>0.0069496920152961</v>
      </c>
      <c r="K3284" t="n">
        <v>0.7367588986584589</v>
      </c>
      <c r="L3284" t="b">
        <v>0</v>
      </c>
      <c r="M3284" t="b">
        <v>0</v>
      </c>
      <c r="N3284" t="inlineStr">
        <is>
          <t>ref</t>
        </is>
      </c>
      <c r="O3284" t="n">
        <v>85</v>
      </c>
      <c r="P3284" t="n">
        <v>0.002365</v>
      </c>
      <c r="Q3284" t="n">
        <v>90</v>
      </c>
      <c r="R3284" t="n">
        <v>0.0421</v>
      </c>
      <c r="S3284">
        <f>IMAGE("https://mitra.stanford.edu/kundaje/oak/projects/neuro-variants/variant_position/credible/roussos_2024/variant_figures/roussos_2024.childhood.Astrocyte/rs6861350_count_position.png",4,220,900)</f>
        <v/>
      </c>
      <c r="T3284">
        <f>IMAGE("https://mitra.stanford.edu/kundaje/oak/projects/neuro-variants/variant_position/credible/roussos_2024/variant_figures/roussos_2024.childhood.Astrocyte/rs6861350_profile_position.png",4,220,900)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-0.0139406452399999</v>
      </c>
      <c r="G3285" t="n">
        <v>0.6403157287342982</v>
      </c>
      <c r="H3285" t="n">
        <v>0.0525388653782038</v>
      </c>
      <c r="I3285" t="n">
        <v>0.0033568816207573</v>
      </c>
      <c r="J3285" t="n">
        <v>0.0042285880027172</v>
      </c>
      <c r="K3285" t="n">
        <v>0.8009124616110019</v>
      </c>
      <c r="L3285" t="b">
        <v>0</v>
      </c>
      <c r="M3285" t="b">
        <v>0</v>
      </c>
      <c r="N3285" t="inlineStr">
        <is>
          <t>ref</t>
        </is>
      </c>
      <c r="O3285" t="n">
        <v>25</v>
      </c>
      <c r="P3285" t="n">
        <v>0.04077</v>
      </c>
      <c r="Q3285" t="n">
        <v>65</v>
      </c>
      <c r="R3285" t="n">
        <v>0.1078</v>
      </c>
      <c r="S3285">
        <f>IMAGE("https://mitra.stanford.edu/kundaje/oak/projects/neuro-variants/variant_position/credible/roussos_2024/variant_figures/roussos_2024.childhood.Astrocyte/rs1597766_count_position.png",4,220,900)</f>
        <v/>
      </c>
      <c r="T3285">
        <f>IMAGE("https://mitra.stanford.edu/kundaje/oak/projects/neuro-variants/variant_position/credible/roussos_2024/variant_figures/roussos_2024.childhood.Astrocyte/rs1597766_profile_position.png",4,220,900)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-0.0192931119999999</v>
      </c>
      <c r="G3286" t="n">
        <v>0.5436035584858251</v>
      </c>
      <c r="H3286" t="n">
        <v>0.0358927604731923</v>
      </c>
      <c r="I3286" t="n">
        <v>0.0147638120939839</v>
      </c>
      <c r="J3286" t="n">
        <v>0.000900673978918</v>
      </c>
      <c r="K3286" t="n">
        <v>0.92187514865233</v>
      </c>
      <c r="L3286" t="b">
        <v>0</v>
      </c>
      <c r="M3286" t="b">
        <v>0</v>
      </c>
      <c r="N3286" t="inlineStr">
        <is>
          <t>ref</t>
        </is>
      </c>
      <c r="O3286" t="n">
        <v>-35</v>
      </c>
      <c r="P3286" t="n">
        <v>0.01181</v>
      </c>
      <c r="Q3286" t="n">
        <v>-90</v>
      </c>
      <c r="R3286" t="n">
        <v>0.1401</v>
      </c>
      <c r="S3286">
        <f>IMAGE("https://mitra.stanford.edu/kundaje/oak/projects/neuro-variants/variant_position/credible/roussos_2024/variant_figures/roussos_2024.childhood.Astrocyte/rs10041806_count_position.png",4,220,900)</f>
        <v/>
      </c>
      <c r="T3286">
        <f>IMAGE("https://mitra.stanford.edu/kundaje/oak/projects/neuro-variants/variant_position/credible/roussos_2024/variant_figures/roussos_2024.childhood.Astrocyte/rs10041806_profile_position.png",4,220,900)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-0.0163409864</v>
      </c>
      <c r="G3287" t="n">
        <v>0.5973730178983958</v>
      </c>
      <c r="H3287" t="n">
        <v>0.0355646824147357</v>
      </c>
      <c r="I3287" t="n">
        <v>0.0152696039379127</v>
      </c>
      <c r="J3287" t="n">
        <v>0.0003717188370619</v>
      </c>
      <c r="K3287" t="n">
        <v>0.9579915379555134</v>
      </c>
      <c r="L3287" t="b">
        <v>0</v>
      </c>
      <c r="M3287" t="b">
        <v>0</v>
      </c>
      <c r="N3287" t="inlineStr">
        <is>
          <t>ref</t>
        </is>
      </c>
      <c r="O3287" t="n">
        <v>-5</v>
      </c>
      <c r="P3287" t="n">
        <v>0.00464</v>
      </c>
      <c r="Q3287" t="n">
        <v>-10</v>
      </c>
      <c r="R3287" t="n">
        <v>0.00882</v>
      </c>
      <c r="S3287">
        <f>IMAGE("https://mitra.stanford.edu/kundaje/oak/projects/neuro-variants/variant_position/credible/roussos_2024/variant_figures/roussos_2024.childhood.Astrocyte/rs9327850_count_position.png",4,220,900)</f>
        <v/>
      </c>
      <c r="T3287">
        <f>IMAGE("https://mitra.stanford.edu/kundaje/oak/projects/neuro-variants/variant_position/credible/roussos_2024/variant_figures/roussos_2024.childhood.Astrocyte/rs9327850_profile_position.png",4,220,900)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0.03309539828</v>
      </c>
      <c r="G3288" t="n">
        <v>0.3522112291209665</v>
      </c>
      <c r="H3288" t="n">
        <v>0.0112394837447999</v>
      </c>
      <c r="I3288" t="n">
        <v>0.59431654724322</v>
      </c>
      <c r="J3288" t="n">
        <v>0.0001175455870791</v>
      </c>
      <c r="K3288" t="n">
        <v>0.9861232642321102</v>
      </c>
      <c r="L3288" t="b">
        <v>0</v>
      </c>
      <c r="M3288" t="b">
        <v>0</v>
      </c>
      <c r="N3288" t="inlineStr">
        <is>
          <t>alt</t>
        </is>
      </c>
      <c r="O3288" t="n">
        <v>-65</v>
      </c>
      <c r="P3288" t="n">
        <v>0.008736000000000001</v>
      </c>
      <c r="Q3288" t="n">
        <v>-80</v>
      </c>
      <c r="R3288" t="n">
        <v>0.037</v>
      </c>
      <c r="S3288">
        <f>IMAGE("https://mitra.stanford.edu/kundaje/oak/projects/neuro-variants/variant_position/credible/roussos_2024/variant_figures/roussos_2024.childhood.Astrocyte/rs9327851_count_position.png",4,220,900)</f>
        <v/>
      </c>
      <c r="T3288">
        <f>IMAGE("https://mitra.stanford.edu/kundaje/oak/projects/neuro-variants/variant_position/credible/roussos_2024/variant_figures/roussos_2024.childhood.Astrocyte/rs9327851_profile_position.png",4,220,900)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0.0226028214</v>
      </c>
      <c r="G3289" t="n">
        <v>0.4796741686230398</v>
      </c>
      <c r="H3289" t="n">
        <v>0.0464600385674731</v>
      </c>
      <c r="I3289" t="n">
        <v>0.0053952146135741</v>
      </c>
      <c r="J3289" t="n">
        <v>0.0648569225954676</v>
      </c>
      <c r="K3289" t="n">
        <v>0.4066240420703231</v>
      </c>
      <c r="L3289" t="b">
        <v>1</v>
      </c>
      <c r="M3289" t="b">
        <v>1</v>
      </c>
      <c r="N3289" t="inlineStr">
        <is>
          <t>alt</t>
        </is>
      </c>
      <c r="O3289" t="n">
        <v>95</v>
      </c>
      <c r="P3289" t="n">
        <v>0.01901</v>
      </c>
      <c r="Q3289" t="n">
        <v>-15</v>
      </c>
      <c r="R3289" t="n">
        <v>0.02005</v>
      </c>
      <c r="S3289">
        <f>IMAGE("https://mitra.stanford.edu/kundaje/oak/projects/neuro-variants/variant_position/credible/roussos_2024/variant_figures/roussos_2024.childhood.Astrocyte/rs6874612_count_position.png",4,220,900)</f>
        <v/>
      </c>
      <c r="T3289">
        <f>IMAGE("https://mitra.stanford.edu/kundaje/oak/projects/neuro-variants/variant_position/credible/roussos_2024/variant_figures/roussos_2024.childhood.Astrocyte/rs6874612_profile_position.png",4,220,900)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-0.00529012208</v>
      </c>
      <c r="G3290" t="n">
        <v>0.8536303486354059</v>
      </c>
      <c r="H3290" t="n">
        <v>0.0428700452822842</v>
      </c>
      <c r="I3290" t="n">
        <v>0.0074911141568066</v>
      </c>
      <c r="J3290" t="n">
        <v>0.0027844565043163</v>
      </c>
      <c r="K3290" t="n">
        <v>0.838644158194641</v>
      </c>
      <c r="L3290" t="b">
        <v>0</v>
      </c>
      <c r="M3290" t="b">
        <v>0</v>
      </c>
      <c r="N3290" t="inlineStr">
        <is>
          <t>ref</t>
        </is>
      </c>
      <c r="O3290" t="n">
        <v>85</v>
      </c>
      <c r="P3290" t="n">
        <v>0.00949</v>
      </c>
      <c r="Q3290" t="n">
        <v>45</v>
      </c>
      <c r="R3290" t="n">
        <v>0.06665</v>
      </c>
      <c r="S3290">
        <f>IMAGE("https://mitra.stanford.edu/kundaje/oak/projects/neuro-variants/variant_position/credible/roussos_2024/variant_figures/roussos_2024.childhood.Astrocyte/rs9285946_count_position.png",4,220,900)</f>
        <v/>
      </c>
      <c r="T3290">
        <f>IMAGE("https://mitra.stanford.edu/kundaje/oak/projects/neuro-variants/variant_position/credible/roussos_2024/variant_figures/roussos_2024.childhood.Astrocyte/rs9285946_profile_position.png",4,220,900)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-0.008598643499999999</v>
      </c>
      <c r="G3291" t="n">
        <v>0.7705695919599205</v>
      </c>
      <c r="H3291" t="n">
        <v>0.0384019162101311</v>
      </c>
      <c r="I3291" t="n">
        <v>0.0114952194706425</v>
      </c>
      <c r="J3291" t="n">
        <v>0.0044239884591605</v>
      </c>
      <c r="K3291" t="n">
        <v>0.7922557875272894</v>
      </c>
      <c r="L3291" t="b">
        <v>0</v>
      </c>
      <c r="M3291" t="b">
        <v>0</v>
      </c>
      <c r="N3291" t="inlineStr">
        <is>
          <t>ref</t>
        </is>
      </c>
      <c r="O3291" t="n">
        <v>-50</v>
      </c>
      <c r="P3291" t="n">
        <v>0.00699</v>
      </c>
      <c r="Q3291" t="n">
        <v>-90</v>
      </c>
      <c r="R3291" t="n">
        <v>0.1072</v>
      </c>
      <c r="S3291">
        <f>IMAGE("https://mitra.stanford.edu/kundaje/oak/projects/neuro-variants/variant_position/credible/roussos_2024/variant_figures/roussos_2024.childhood.Astrocyte/rs7721084_count_position.png",4,220,900)</f>
        <v/>
      </c>
      <c r="T3291">
        <f>IMAGE("https://mitra.stanford.edu/kundaje/oak/projects/neuro-variants/variant_position/credible/roussos_2024/variant_figures/roussos_2024.childhood.Astrocyte/rs7721084_profile_position.png",4,220,900)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-0.0039948935999999</v>
      </c>
      <c r="G3292" t="n">
        <v>0.5676968812295926</v>
      </c>
      <c r="H3292" t="n">
        <v>0.0223742544662362</v>
      </c>
      <c r="I3292" t="n">
        <v>0.09033899664837219</v>
      </c>
      <c r="J3292" t="n">
        <v>0.0372413424621983</v>
      </c>
      <c r="K3292" t="n">
        <v>0.4916639046515724</v>
      </c>
      <c r="L3292" t="b">
        <v>0</v>
      </c>
      <c r="M3292" t="b">
        <v>0</v>
      </c>
      <c r="N3292" t="inlineStr">
        <is>
          <t>ref</t>
        </is>
      </c>
      <c r="O3292" t="n">
        <v>-35</v>
      </c>
      <c r="P3292" t="n">
        <v>0.007355</v>
      </c>
      <c r="Q3292" t="n">
        <v>-10</v>
      </c>
      <c r="R3292" t="n">
        <v>0.0166</v>
      </c>
      <c r="S3292">
        <f>IMAGE("https://mitra.stanford.edu/kundaje/oak/projects/neuro-variants/variant_position/credible/roussos_2024/variant_figures/roussos_2024.childhood.Astrocyte/rs10057126_count_position.png",4,220,900)</f>
        <v/>
      </c>
      <c r="T3292">
        <f>IMAGE("https://mitra.stanford.edu/kundaje/oak/projects/neuro-variants/variant_position/credible/roussos_2024/variant_figures/roussos_2024.childhood.Astrocyte/rs10057126_profile_position.png",4,220,900)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-0.1298980599999999</v>
      </c>
      <c r="G3293" t="n">
        <v>0.0521946896189607</v>
      </c>
      <c r="H3293" t="n">
        <v>0.0253513465479363</v>
      </c>
      <c r="I3293" t="n">
        <v>0.0597036643729397</v>
      </c>
      <c r="J3293" t="n">
        <v>0.0702869180920976</v>
      </c>
      <c r="K3293" t="n">
        <v>0.3859208004506377</v>
      </c>
      <c r="L3293" t="b">
        <v>0</v>
      </c>
      <c r="M3293" t="b">
        <v>0</v>
      </c>
      <c r="N3293" t="inlineStr">
        <is>
          <t>ref</t>
        </is>
      </c>
      <c r="O3293" t="n">
        <v>-10</v>
      </c>
      <c r="P3293" t="n">
        <v>0.00657</v>
      </c>
      <c r="Q3293" t="n">
        <v>-50</v>
      </c>
      <c r="R3293" t="n">
        <v>0.04736</v>
      </c>
      <c r="S3293">
        <f>IMAGE("https://mitra.stanford.edu/kundaje/oak/projects/neuro-variants/variant_position/credible/roussos_2024/variant_figures/roussos_2024.childhood.Astrocyte/rs1901522_count_position.png",4,220,900)</f>
        <v/>
      </c>
      <c r="T3293">
        <f>IMAGE("https://mitra.stanford.edu/kundaje/oak/projects/neuro-variants/variant_position/credible/roussos_2024/variant_figures/roussos_2024.childhood.Astrocyte/rs1901522_profile_position.png",4,220,900)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0.0086630225999999</v>
      </c>
      <c r="G3294" t="n">
        <v>0.7391919041325765</v>
      </c>
      <c r="H3294" t="n">
        <v>0.0076925969105767</v>
      </c>
      <c r="I3294" t="n">
        <v>0.925476314368432</v>
      </c>
      <c r="J3294" t="n">
        <v>0.0009319685832702</v>
      </c>
      <c r="K3294" t="n">
        <v>0.9129771297165205</v>
      </c>
      <c r="L3294" t="b">
        <v>0</v>
      </c>
      <c r="M3294" t="b">
        <v>0</v>
      </c>
      <c r="N3294" t="inlineStr">
        <is>
          <t>alt</t>
        </is>
      </c>
      <c r="O3294" t="n">
        <v>80</v>
      </c>
      <c r="P3294" t="n">
        <v>0.02136</v>
      </c>
      <c r="Q3294" t="n">
        <v>70</v>
      </c>
      <c r="R3294" t="n">
        <v>0.0922</v>
      </c>
      <c r="S3294">
        <f>IMAGE("https://mitra.stanford.edu/kundaje/oak/projects/neuro-variants/variant_position/credible/roussos_2024/variant_figures/roussos_2024.childhood.Astrocyte/rs2060834_count_position.png",4,220,900)</f>
        <v/>
      </c>
      <c r="T3294">
        <f>IMAGE("https://mitra.stanford.edu/kundaje/oak/projects/neuro-variants/variant_position/credible/roussos_2024/variant_figures/roussos_2024.childhood.Astrocyte/rs2060834_profile_position.png",4,220,900)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0.0552444716</v>
      </c>
      <c r="G3295" t="n">
        <v>0.2098692404497695</v>
      </c>
      <c r="H3295" t="n">
        <v>0.0147004171322653</v>
      </c>
      <c r="I3295" t="n">
        <v>0.3147164897895165</v>
      </c>
      <c r="J3295" t="n">
        <v>0.0078022791631364</v>
      </c>
      <c r="K3295" t="n">
        <v>0.7257401621856766</v>
      </c>
      <c r="L3295" t="b">
        <v>0</v>
      </c>
      <c r="M3295" t="b">
        <v>0</v>
      </c>
      <c r="N3295" t="inlineStr">
        <is>
          <t>alt</t>
        </is>
      </c>
      <c r="O3295" t="n">
        <v>75</v>
      </c>
      <c r="P3295" t="n">
        <v>0.004444</v>
      </c>
      <c r="Q3295" t="n">
        <v>-60</v>
      </c>
      <c r="R3295" t="n">
        <v>0.04074</v>
      </c>
      <c r="S3295">
        <f>IMAGE("https://mitra.stanford.edu/kundaje/oak/projects/neuro-variants/variant_position/credible/roussos_2024/variant_figures/roussos_2024.childhood.Astrocyte/rs9986226_count_position.png",4,220,900)</f>
        <v/>
      </c>
      <c r="T3295">
        <f>IMAGE("https://mitra.stanford.edu/kundaje/oak/projects/neuro-variants/variant_position/credible/roussos_2024/variant_figures/roussos_2024.childhood.Astrocyte/rs9986226_profile_position.png",4,220,900)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-0.0359312952</v>
      </c>
      <c r="G3296" t="n">
        <v>0.3279638703127104</v>
      </c>
      <c r="H3296" t="n">
        <v>0.0296133262530429</v>
      </c>
      <c r="I3296" t="n">
        <v>0.0318951434719302</v>
      </c>
      <c r="J3296" t="n">
        <v>0.0019524779983665</v>
      </c>
      <c r="K3296" t="n">
        <v>0.8682014336920647</v>
      </c>
      <c r="L3296" t="b">
        <v>0</v>
      </c>
      <c r="M3296" t="b">
        <v>0</v>
      </c>
      <c r="N3296" t="inlineStr">
        <is>
          <t>ref</t>
        </is>
      </c>
      <c r="O3296" t="n">
        <v>40</v>
      </c>
      <c r="P3296" t="n">
        <v>0.005432</v>
      </c>
      <c r="Q3296" t="n">
        <v>-90</v>
      </c>
      <c r="R3296" t="n">
        <v>0.02783</v>
      </c>
      <c r="S3296">
        <f>IMAGE("https://mitra.stanford.edu/kundaje/oak/projects/neuro-variants/variant_position/credible/roussos_2024/variant_figures/roussos_2024.childhood.Astrocyte/rs1597770_count_position.png",4,220,900)</f>
        <v/>
      </c>
      <c r="T3296">
        <f>IMAGE("https://mitra.stanford.edu/kundaje/oak/projects/neuro-variants/variant_position/credible/roussos_2024/variant_figures/roussos_2024.childhood.Astrocyte/rs1597770_profile_position.png",4,220,900)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0.0238399818</v>
      </c>
      <c r="G3297" t="n">
        <v>0.4521850397899358</v>
      </c>
      <c r="H3297" t="n">
        <v>0.0263468392147209</v>
      </c>
      <c r="I3297" t="n">
        <v>0.048857021015449</v>
      </c>
      <c r="J3297" t="n">
        <v>0.0190294092952607</v>
      </c>
      <c r="K3297" t="n">
        <v>0.604831283044602</v>
      </c>
      <c r="L3297" t="b">
        <v>0</v>
      </c>
      <c r="M3297" t="b">
        <v>0</v>
      </c>
      <c r="N3297" t="inlineStr">
        <is>
          <t>alt</t>
        </is>
      </c>
      <c r="O3297" t="n">
        <v>-30</v>
      </c>
      <c r="P3297" t="n">
        <v>0.003082</v>
      </c>
      <c r="Q3297" t="n">
        <v>-5</v>
      </c>
      <c r="R3297" t="n">
        <v>0.004272</v>
      </c>
      <c r="S3297">
        <f>IMAGE("https://mitra.stanford.edu/kundaje/oak/projects/neuro-variants/variant_position/credible/roussos_2024/variant_figures/roussos_2024.childhood.Astrocyte/rs1470794_count_position.png",4,220,900)</f>
        <v/>
      </c>
      <c r="T3297">
        <f>IMAGE("https://mitra.stanford.edu/kundaje/oak/projects/neuro-variants/variant_position/credible/roussos_2024/variant_figures/roussos_2024.childhood.Astrocyte/rs1470794_profile_position.png",4,220,900)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-0.0070288725</v>
      </c>
      <c r="G3298" t="n">
        <v>0.7658822133234742</v>
      </c>
      <c r="H3298" t="n">
        <v>0.0118065423843973</v>
      </c>
      <c r="I3298" t="n">
        <v>0.5357633187695872</v>
      </c>
      <c r="J3298" t="n">
        <v>0.289666674299497</v>
      </c>
      <c r="K3298" t="n">
        <v>0.1401787200920419</v>
      </c>
      <c r="L3298" t="b">
        <v>0</v>
      </c>
      <c r="M3298" t="b">
        <v>0</v>
      </c>
      <c r="N3298" t="inlineStr">
        <is>
          <t>ref</t>
        </is>
      </c>
      <c r="O3298" t="n">
        <v>-25</v>
      </c>
      <c r="P3298" t="n">
        <v>0.005936</v>
      </c>
      <c r="Q3298" t="n">
        <v>-80</v>
      </c>
      <c r="R3298" t="n">
        <v>0.139</v>
      </c>
      <c r="S3298">
        <f>IMAGE("https://mitra.stanford.edu/kundaje/oak/projects/neuro-variants/variant_position/credible/roussos_2024/variant_figures/roussos_2024.childhood.Astrocyte/rs6878326_count_position.png",4,220,900)</f>
        <v/>
      </c>
      <c r="T3298">
        <f>IMAGE("https://mitra.stanford.edu/kundaje/oak/projects/neuro-variants/variant_position/credible/roussos_2024/variant_figures/roussos_2024.childhood.Astrocyte/rs6878326_profile_position.png",4,220,900)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0.0430790212</v>
      </c>
      <c r="G3299" t="n">
        <v>0.2438181509253548</v>
      </c>
      <c r="H3299" t="n">
        <v>0.0112096874846432</v>
      </c>
      <c r="I3299" t="n">
        <v>0.5946330258233011</v>
      </c>
      <c r="J3299" t="n">
        <v>0.1170708250326303</v>
      </c>
      <c r="K3299" t="n">
        <v>0.2939367656675548</v>
      </c>
      <c r="L3299" t="b">
        <v>0</v>
      </c>
      <c r="M3299" t="b">
        <v>0</v>
      </c>
      <c r="N3299" t="inlineStr">
        <is>
          <t>alt</t>
        </is>
      </c>
      <c r="O3299" t="n">
        <v>55</v>
      </c>
      <c r="P3299" t="n">
        <v>0.01712</v>
      </c>
      <c r="Q3299" t="n">
        <v>0</v>
      </c>
      <c r="R3299" t="n">
        <v>0</v>
      </c>
      <c r="S3299">
        <f>IMAGE("https://mitra.stanford.edu/kundaje/oak/projects/neuro-variants/variant_position/credible/roussos_2024/variant_figures/roussos_2024.childhood.Astrocyte/rs4413509_count_position.png",4,220,900)</f>
        <v/>
      </c>
      <c r="T3299">
        <f>IMAGE("https://mitra.stanford.edu/kundaje/oak/projects/neuro-variants/variant_position/credible/roussos_2024/variant_figures/roussos_2024.childhood.Astrocyte/rs4413509_profile_position.png",4,220,900)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-0.07312978119999999</v>
      </c>
      <c r="G3300" t="n">
        <v>0.1252175907128319</v>
      </c>
      <c r="H3300" t="n">
        <v>0.0165338319296948</v>
      </c>
      <c r="I3300" t="n">
        <v>0.223847820550904</v>
      </c>
      <c r="J3300" t="n">
        <v>0.0005197957454603</v>
      </c>
      <c r="K3300" t="n">
        <v>0.9542586080893126</v>
      </c>
      <c r="L3300" t="b">
        <v>0</v>
      </c>
      <c r="M3300" t="b">
        <v>0</v>
      </c>
      <c r="N3300" t="inlineStr">
        <is>
          <t>ref</t>
        </is>
      </c>
      <c r="O3300" t="n">
        <v>-35</v>
      </c>
      <c r="P3300" t="n">
        <v>0.00116</v>
      </c>
      <c r="Q3300" t="n">
        <v>100</v>
      </c>
      <c r="R3300" t="n">
        <v>0.1279</v>
      </c>
      <c r="S3300">
        <f>IMAGE("https://mitra.stanford.edu/kundaje/oak/projects/neuro-variants/variant_position/credible/roussos_2024/variant_figures/roussos_2024.childhood.Astrocyte/rs9765316_count_position.png",4,220,900)</f>
        <v/>
      </c>
      <c r="T3300">
        <f>IMAGE("https://mitra.stanford.edu/kundaje/oak/projects/neuro-variants/variant_position/credible/roussos_2024/variant_figures/roussos_2024.childhood.Astrocyte/rs9765316_profile_position.png",4,220,900)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0.0553237892</v>
      </c>
      <c r="G3301" t="n">
        <v>0.2143905692092723</v>
      </c>
      <c r="H3301" t="n">
        <v>0.0211379825551545</v>
      </c>
      <c r="I3301" t="n">
        <v>0.1105160112512579</v>
      </c>
      <c r="J3301" t="n">
        <v>0.0271698228420079</v>
      </c>
      <c r="K3301" t="n">
        <v>0.5463628400647016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0.013115</v>
      </c>
      <c r="Q3301" t="n">
        <v>-10</v>
      </c>
      <c r="R3301" t="n">
        <v>0.009639999999999999</v>
      </c>
      <c r="S3301">
        <f>IMAGE("https://mitra.stanford.edu/kundaje/oak/projects/neuro-variants/variant_position/credible/roussos_2024/variant_figures/roussos_2024.childhood.Astrocyte/rs10038801_count_position.png",4,220,900)</f>
        <v/>
      </c>
      <c r="T3301">
        <f>IMAGE("https://mitra.stanford.edu/kundaje/oak/projects/neuro-variants/variant_position/credible/roussos_2024/variant_figures/roussos_2024.childhood.Astrocyte/rs10038801_profile_position.png",4,220,900)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0.06513439140000001</v>
      </c>
      <c r="G3302" t="n">
        <v>0.1627970550719916</v>
      </c>
      <c r="H3302" t="n">
        <v>0.0119014839111744</v>
      </c>
      <c r="I3302" t="n">
        <v>0.5255008991107208</v>
      </c>
      <c r="J3302" t="n">
        <v>0.0114790135330081</v>
      </c>
      <c r="K3302" t="n">
        <v>0.6711241113024669</v>
      </c>
      <c r="L3302" t="b">
        <v>0</v>
      </c>
      <c r="M3302" t="b">
        <v>0</v>
      </c>
      <c r="N3302" t="inlineStr">
        <is>
          <t>alt</t>
        </is>
      </c>
      <c r="O3302" t="n">
        <v>40</v>
      </c>
      <c r="P3302" t="n">
        <v>0.00406</v>
      </c>
      <c r="Q3302" t="n">
        <v>60</v>
      </c>
      <c r="R3302" t="n">
        <v>0.06759999999999999</v>
      </c>
      <c r="S3302">
        <f>IMAGE("https://mitra.stanford.edu/kundaje/oak/projects/neuro-variants/variant_position/credible/roussos_2024/variant_figures/roussos_2024.childhood.Astrocyte/rs6872341_count_position.png",4,220,900)</f>
        <v/>
      </c>
      <c r="T3302">
        <f>IMAGE("https://mitra.stanford.edu/kundaje/oak/projects/neuro-variants/variant_position/credible/roussos_2024/variant_figures/roussos_2024.childhood.Astrocyte/rs6872341_profile_position.png",4,220,900)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-0.0670558101999999</v>
      </c>
      <c r="G3303" t="n">
        <v>0.1497199679628074</v>
      </c>
      <c r="H3303" t="n">
        <v>0.011896737613638</v>
      </c>
      <c r="I3303" t="n">
        <v>0.5164552341597943</v>
      </c>
      <c r="J3303" t="n">
        <v>0.0101188431682351</v>
      </c>
      <c r="K3303" t="n">
        <v>0.6905428958557215</v>
      </c>
      <c r="L3303" t="b">
        <v>0</v>
      </c>
      <c r="M3303" t="b">
        <v>0</v>
      </c>
      <c r="N3303" t="inlineStr">
        <is>
          <t>ref</t>
        </is>
      </c>
      <c r="O3303" t="n">
        <v>-100</v>
      </c>
      <c r="P3303" t="n">
        <v>0.00451</v>
      </c>
      <c r="Q3303" t="n">
        <v>90</v>
      </c>
      <c r="R3303" t="n">
        <v>0.06256</v>
      </c>
      <c r="S3303">
        <f>IMAGE("https://mitra.stanford.edu/kundaje/oak/projects/neuro-variants/variant_position/credible/roussos_2024/variant_figures/roussos_2024.childhood.Astrocyte/rs1376909_count_position.png",4,220,900)</f>
        <v/>
      </c>
      <c r="T3303">
        <f>IMAGE("https://mitra.stanford.edu/kundaje/oak/projects/neuro-variants/variant_position/credible/roussos_2024/variant_figures/roussos_2024.childhood.Astrocyte/rs1376909_profile_position.png",4,220,900)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0.0285215708</v>
      </c>
      <c r="G3304" t="n">
        <v>0.3904549233946513</v>
      </c>
      <c r="H3304" t="n">
        <v>0.0119088659711481</v>
      </c>
      <c r="I3304" t="n">
        <v>0.5216200352096604</v>
      </c>
      <c r="J3304" t="n">
        <v>0.0634990420797935</v>
      </c>
      <c r="K3304" t="n">
        <v>0.4025881630524063</v>
      </c>
      <c r="L3304" t="b">
        <v>0</v>
      </c>
      <c r="M3304" t="b">
        <v>0</v>
      </c>
      <c r="N3304" t="inlineStr">
        <is>
          <t>alt</t>
        </is>
      </c>
      <c r="O3304" t="n">
        <v>-55</v>
      </c>
      <c r="P3304" t="n">
        <v>0.05103</v>
      </c>
      <c r="Q3304" t="n">
        <v>-100</v>
      </c>
      <c r="R3304" t="n">
        <v>0.0641</v>
      </c>
      <c r="S3304">
        <f>IMAGE("https://mitra.stanford.edu/kundaje/oak/projects/neuro-variants/variant_position/credible/roussos_2024/variant_figures/roussos_2024.childhood.Astrocyte/rs7724920_count_position.png",4,220,900)</f>
        <v/>
      </c>
      <c r="T3304">
        <f>IMAGE("https://mitra.stanford.edu/kundaje/oak/projects/neuro-variants/variant_position/credible/roussos_2024/variant_figures/roussos_2024.childhood.Astrocyte/rs7724920_profile_position.png",4,220,900)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-0.0401773167999999</v>
      </c>
      <c r="G3305" t="n">
        <v>0.307199160248601</v>
      </c>
      <c r="H3305" t="n">
        <v>0.0175481753939565</v>
      </c>
      <c r="I3305" t="n">
        <v>0.1879788132994902</v>
      </c>
      <c r="J3305" t="n">
        <v>0.0135589597978826</v>
      </c>
      <c r="K3305" t="n">
        <v>0.6461881866825822</v>
      </c>
      <c r="L3305" t="b">
        <v>0</v>
      </c>
      <c r="M3305" t="b">
        <v>0</v>
      </c>
      <c r="N3305" t="inlineStr">
        <is>
          <t>ref</t>
        </is>
      </c>
      <c r="O3305" t="n">
        <v>25</v>
      </c>
      <c r="P3305" t="n">
        <v>0.004078</v>
      </c>
      <c r="Q3305" t="n">
        <v>50</v>
      </c>
      <c r="R3305" t="n">
        <v>0.04047</v>
      </c>
      <c r="S3305">
        <f>IMAGE("https://mitra.stanford.edu/kundaje/oak/projects/neuro-variants/variant_position/credible/roussos_2024/variant_figures/roussos_2024.childhood.Astrocyte/rs2400797_count_position.png",4,220,900)</f>
        <v/>
      </c>
      <c r="T3305">
        <f>IMAGE("https://mitra.stanford.edu/kundaje/oak/projects/neuro-variants/variant_position/credible/roussos_2024/variant_figures/roussos_2024.childhood.Astrocyte/rs2400797_profile_position.png",4,220,900)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0.0239890172</v>
      </c>
      <c r="G3306" t="n">
        <v>0.4515951210641453</v>
      </c>
      <c r="H3306" t="n">
        <v>0.0317083764716152</v>
      </c>
      <c r="I3306" t="n">
        <v>0.0240110791803507</v>
      </c>
      <c r="J3306" t="n">
        <v>0.0035141550838466</v>
      </c>
      <c r="K3306" t="n">
        <v>0.8178875508147618</v>
      </c>
      <c r="L3306" t="b">
        <v>0</v>
      </c>
      <c r="M3306" t="b">
        <v>0</v>
      </c>
      <c r="N3306" t="inlineStr">
        <is>
          <t>alt</t>
        </is>
      </c>
      <c r="O3306" t="n">
        <v>0</v>
      </c>
      <c r="P3306" t="n">
        <v>0</v>
      </c>
      <c r="Q3306" t="n">
        <v>-45</v>
      </c>
      <c r="R3306" t="n">
        <v>0.09959999999999999</v>
      </c>
      <c r="S3306">
        <f>IMAGE("https://mitra.stanford.edu/kundaje/oak/projects/neuro-variants/variant_position/credible/roussos_2024/variant_figures/roussos_2024.childhood.Astrocyte/rs2400799_count_position.png",4,220,900)</f>
        <v/>
      </c>
      <c r="T3306">
        <f>IMAGE("https://mitra.stanford.edu/kundaje/oak/projects/neuro-variants/variant_position/credible/roussos_2024/variant_figures/roussos_2024.childhood.Astrocyte/rs2400799_profile_position.png",4,220,900)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0.001090562366</v>
      </c>
      <c r="G3307" t="n">
        <v>0.9183834326314204</v>
      </c>
      <c r="H3307" t="n">
        <v>0.0342261526820992</v>
      </c>
      <c r="I3307" t="n">
        <v>0.0178992419630505</v>
      </c>
      <c r="J3307" t="n">
        <v>0.0004678924992175</v>
      </c>
      <c r="K3307" t="n">
        <v>0.9568495940448282</v>
      </c>
      <c r="L3307" t="b">
        <v>0</v>
      </c>
      <c r="M3307" t="b">
        <v>0</v>
      </c>
      <c r="N3307" t="inlineStr">
        <is>
          <t>alt</t>
        </is>
      </c>
      <c r="O3307" t="n">
        <v>-100</v>
      </c>
      <c r="P3307" t="n">
        <v>0.008316</v>
      </c>
      <c r="Q3307" t="n">
        <v>-50</v>
      </c>
      <c r="R3307" t="n">
        <v>0.04724</v>
      </c>
      <c r="S3307">
        <f>IMAGE("https://mitra.stanford.edu/kundaje/oak/projects/neuro-variants/variant_position/credible/roussos_2024/variant_figures/roussos_2024.childhood.Astrocyte/rs58080162_count_position.png",4,220,900)</f>
        <v/>
      </c>
      <c r="T3307">
        <f>IMAGE("https://mitra.stanford.edu/kundaje/oak/projects/neuro-variants/variant_position/credible/roussos_2024/variant_figures/roussos_2024.childhood.Astrocyte/rs58080162_profile_position.png",4,220,900)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-0.0754546584</v>
      </c>
      <c r="G3308" t="n">
        <v>0.1173056135046904</v>
      </c>
      <c r="H3308" t="n">
        <v>0.0141117853453477</v>
      </c>
      <c r="I3308" t="n">
        <v>0.348861056066044</v>
      </c>
      <c r="J3308" t="n">
        <v>0.0003037866471265</v>
      </c>
      <c r="K3308" t="n">
        <v>0.9581873604610056</v>
      </c>
      <c r="L3308" t="b">
        <v>0</v>
      </c>
      <c r="M3308" t="b">
        <v>0</v>
      </c>
      <c r="N3308" t="inlineStr">
        <is>
          <t>ref</t>
        </is>
      </c>
      <c r="O3308" t="n">
        <v>75</v>
      </c>
      <c r="P3308" t="n">
        <v>0.011375</v>
      </c>
      <c r="Q3308" t="n">
        <v>-25</v>
      </c>
      <c r="R3308" t="n">
        <v>0.0526</v>
      </c>
      <c r="S3308">
        <f>IMAGE("https://mitra.stanford.edu/kundaje/oak/projects/neuro-variants/variant_position/credible/roussos_2024/variant_figures/roussos_2024.childhood.Astrocyte/rs10055704_count_position.png",4,220,900)</f>
        <v/>
      </c>
      <c r="T3308">
        <f>IMAGE("https://mitra.stanford.edu/kundaje/oak/projects/neuro-variants/variant_position/credible/roussos_2024/variant_figures/roussos_2024.childhood.Astrocyte/rs10055704_profile_position.png",4,220,900)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-0.0172337745999999</v>
      </c>
      <c r="G3309" t="n">
        <v>0.5903899077442747</v>
      </c>
      <c r="H3309" t="n">
        <v>0.0092891176546358</v>
      </c>
      <c r="I3309" t="n">
        <v>0.790593082043782</v>
      </c>
      <c r="J3309" t="n">
        <v>0.0018272995809575</v>
      </c>
      <c r="K3309" t="n">
        <v>0.8624340347186155</v>
      </c>
      <c r="L3309" t="b">
        <v>0</v>
      </c>
      <c r="M3309" t="b">
        <v>0</v>
      </c>
      <c r="N3309" t="inlineStr">
        <is>
          <t>ref</t>
        </is>
      </c>
      <c r="O3309" t="n">
        <v>-70</v>
      </c>
      <c r="P3309" t="n">
        <v>0.008670000000000001</v>
      </c>
      <c r="Q3309" t="n">
        <v>-90</v>
      </c>
      <c r="R3309" t="n">
        <v>0.0639</v>
      </c>
      <c r="S3309">
        <f>IMAGE("https://mitra.stanford.edu/kundaje/oak/projects/neuro-variants/variant_position/credible/roussos_2024/variant_figures/roussos_2024.childhood.Astrocyte/rs11242471_count_position.png",4,220,900)</f>
        <v/>
      </c>
      <c r="T3309">
        <f>IMAGE("https://mitra.stanford.edu/kundaje/oak/projects/neuro-variants/variant_position/credible/roussos_2024/variant_figures/roussos_2024.childhood.Astrocyte/rs11242471_profile_position.png",4,220,900)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0.01277556166</v>
      </c>
      <c r="G3310" t="n">
        <v>0.4402165944927093</v>
      </c>
      <c r="H3310" t="n">
        <v>0.0139119495438898</v>
      </c>
      <c r="I3310" t="n">
        <v>0.368662631753072</v>
      </c>
      <c r="J3310" t="n">
        <v>0.0101600604520161</v>
      </c>
      <c r="K3310" t="n">
        <v>0.6880216388246165</v>
      </c>
      <c r="L3310" t="b">
        <v>0</v>
      </c>
      <c r="M3310" t="b">
        <v>0</v>
      </c>
      <c r="N3310" t="inlineStr">
        <is>
          <t>alt</t>
        </is>
      </c>
      <c r="O3310" t="n">
        <v>-100</v>
      </c>
      <c r="P3310" t="n">
        <v>0.007046</v>
      </c>
      <c r="Q3310" t="n">
        <v>45</v>
      </c>
      <c r="R3310" t="n">
        <v>0.05774</v>
      </c>
      <c r="S3310">
        <f>IMAGE("https://mitra.stanford.edu/kundaje/oak/projects/neuro-variants/variant_position/credible/roussos_2024/variant_figures/roussos_2024.childhood.Astrocyte/rs252810_count_position.png",4,220,900)</f>
        <v/>
      </c>
      <c r="T3310">
        <f>IMAGE("https://mitra.stanford.edu/kundaje/oak/projects/neuro-variants/variant_position/credible/roussos_2024/variant_figures/roussos_2024.childhood.Astrocyte/rs252810_profile_position.png",4,220,900)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0.044219316</v>
      </c>
      <c r="G3311" t="n">
        <v>0.2573047407609644</v>
      </c>
      <c r="H3311" t="n">
        <v>0.0117075823964503</v>
      </c>
      <c r="I3311" t="n">
        <v>0.5321178628266372</v>
      </c>
      <c r="J3311" t="n">
        <v>0.0140375382595619</v>
      </c>
      <c r="K3311" t="n">
        <v>0.6420344389803853</v>
      </c>
      <c r="L3311" t="b">
        <v>0</v>
      </c>
      <c r="M3311" t="b">
        <v>0</v>
      </c>
      <c r="N3311" t="inlineStr">
        <is>
          <t>alt</t>
        </is>
      </c>
      <c r="O3311" t="n">
        <v>100</v>
      </c>
      <c r="P3311" t="n">
        <v>0.00495</v>
      </c>
      <c r="Q3311" t="n">
        <v>-20</v>
      </c>
      <c r="R3311" t="n">
        <v>0.02676</v>
      </c>
      <c r="S3311">
        <f>IMAGE("https://mitra.stanford.edu/kundaje/oak/projects/neuro-variants/variant_position/credible/roussos_2024/variant_figures/roussos_2024.childhood.Astrocyte/rs152611_count_position.png",4,220,900)</f>
        <v/>
      </c>
      <c r="T3311">
        <f>IMAGE("https://mitra.stanford.edu/kundaje/oak/projects/neuro-variants/variant_position/credible/roussos_2024/variant_figures/roussos_2024.childhood.Astrocyte/rs152611_profile_position.png",4,220,900)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0.0328677212</v>
      </c>
      <c r="G3312" t="n">
        <v>0.3442990923152729</v>
      </c>
      <c r="H3312" t="n">
        <v>0.0313024948756682</v>
      </c>
      <c r="I3312" t="n">
        <v>0.025909410008761</v>
      </c>
      <c r="J3312" t="n">
        <v>0.0084739682321601</v>
      </c>
      <c r="K3312" t="n">
        <v>0.7130168094215575</v>
      </c>
      <c r="L3312" t="b">
        <v>0</v>
      </c>
      <c r="M3312" t="b">
        <v>0</v>
      </c>
      <c r="N3312" t="inlineStr">
        <is>
          <t>alt</t>
        </is>
      </c>
      <c r="O3312" t="n">
        <v>-100</v>
      </c>
      <c r="P3312" t="n">
        <v>0.01376</v>
      </c>
      <c r="Q3312" t="n">
        <v>55</v>
      </c>
      <c r="R3312" t="n">
        <v>0.06560000000000001</v>
      </c>
      <c r="S3312">
        <f>IMAGE("https://mitra.stanford.edu/kundaje/oak/projects/neuro-variants/variant_position/credible/roussos_2024/variant_figures/roussos_2024.childhood.Astrocyte/rs115779_count_position.png",4,220,900)</f>
        <v/>
      </c>
      <c r="T3312">
        <f>IMAGE("https://mitra.stanford.edu/kundaje/oak/projects/neuro-variants/variant_position/credible/roussos_2024/variant_figures/roussos_2024.childhood.Astrocyte/rs115779_profile_position.png",4,220,900)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0.02387426338</v>
      </c>
      <c r="G3313" t="n">
        <v>0.4823113546464668</v>
      </c>
      <c r="H3313" t="n">
        <v>0.0243709338319285</v>
      </c>
      <c r="I3313" t="n">
        <v>0.0670250580048507</v>
      </c>
      <c r="J3313" t="n">
        <v>0.0015937349728652</v>
      </c>
      <c r="K3313" t="n">
        <v>0.8811142864573192</v>
      </c>
      <c r="L3313" t="b">
        <v>0</v>
      </c>
      <c r="M3313" t="b">
        <v>0</v>
      </c>
      <c r="N3313" t="inlineStr">
        <is>
          <t>alt</t>
        </is>
      </c>
      <c r="O3313" t="n">
        <v>40</v>
      </c>
      <c r="P3313" t="n">
        <v>0.00747</v>
      </c>
      <c r="Q3313" t="n">
        <v>40</v>
      </c>
      <c r="R3313" t="n">
        <v>0.02924</v>
      </c>
      <c r="S3313">
        <f>IMAGE("https://mitra.stanford.edu/kundaje/oak/projects/neuro-variants/variant_position/credible/roussos_2024/variant_figures/roussos_2024.childhood.Astrocyte/rs967270_count_position.png",4,220,900)</f>
        <v/>
      </c>
      <c r="T3313">
        <f>IMAGE("https://mitra.stanford.edu/kundaje/oak/projects/neuro-variants/variant_position/credible/roussos_2024/variant_figures/roussos_2024.childhood.Astrocyte/rs967270_profile_position.png",4,220,900)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0.0281795691999999</v>
      </c>
      <c r="G3314" t="n">
        <v>0.3954550594650349</v>
      </c>
      <c r="H3314" t="n">
        <v>0.008340580786852901</v>
      </c>
      <c r="I3314" t="n">
        <v>0.8570861596667948</v>
      </c>
      <c r="J3314" t="n">
        <v>0.0212627754497645</v>
      </c>
      <c r="K3314" t="n">
        <v>0.5895761283985201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0.006886</v>
      </c>
      <c r="Q3314" t="n">
        <v>10</v>
      </c>
      <c r="R3314" t="n">
        <v>0.0279</v>
      </c>
      <c r="S3314">
        <f>IMAGE("https://mitra.stanford.edu/kundaje/oak/projects/neuro-variants/variant_position/credible/roussos_2024/variant_figures/roussos_2024.childhood.Astrocyte/rs25913_count_position.png",4,220,900)</f>
        <v/>
      </c>
      <c r="T3314">
        <f>IMAGE("https://mitra.stanford.edu/kundaje/oak/projects/neuro-variants/variant_position/credible/roussos_2024/variant_figures/roussos_2024.childhood.Astrocyte/rs25913_profile_position.png",4,220,900)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0.0810544884</v>
      </c>
      <c r="G3315" t="n">
        <v>0.1088924715182543</v>
      </c>
      <c r="H3315" t="n">
        <v>0.0099844513206819</v>
      </c>
      <c r="I3315" t="n">
        <v>0.7128037719829766</v>
      </c>
      <c r="J3315" t="n">
        <v>0.0060169601489928</v>
      </c>
      <c r="K3315" t="n">
        <v>0.7633124930207539</v>
      </c>
      <c r="L3315" t="b">
        <v>0</v>
      </c>
      <c r="M3315" t="b">
        <v>0</v>
      </c>
      <c r="N3315" t="inlineStr">
        <is>
          <t>alt</t>
        </is>
      </c>
      <c r="O3315" t="n">
        <v>55</v>
      </c>
      <c r="P3315" t="n">
        <v>0.006348</v>
      </c>
      <c r="Q3315" t="n">
        <v>-100</v>
      </c>
      <c r="R3315" t="n">
        <v>0.02295</v>
      </c>
      <c r="S3315">
        <f>IMAGE("https://mitra.stanford.edu/kundaje/oak/projects/neuro-variants/variant_position/credible/roussos_2024/variant_figures/roussos_2024.childhood.Astrocyte/rs31609_count_position.png",4,220,900)</f>
        <v/>
      </c>
      <c r="T3315">
        <f>IMAGE("https://mitra.stanford.edu/kundaje/oak/projects/neuro-variants/variant_position/credible/roussos_2024/variant_figures/roussos_2024.childhood.Astrocyte/rs31609_profile_position.png",4,220,900)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0.00413366136</v>
      </c>
      <c r="G3316" t="n">
        <v>0.7850817719053662</v>
      </c>
      <c r="H3316" t="n">
        <v>0.0322280391399243</v>
      </c>
      <c r="I3316" t="n">
        <v>0.0229636548738932</v>
      </c>
      <c r="J3316" t="n">
        <v>0.0111767534519474</v>
      </c>
      <c r="K3316" t="n">
        <v>0.6784001582873002</v>
      </c>
      <c r="L3316" t="b">
        <v>0</v>
      </c>
      <c r="M3316" t="b">
        <v>0</v>
      </c>
      <c r="N3316" t="inlineStr">
        <is>
          <t>alt</t>
        </is>
      </c>
      <c r="O3316" t="n">
        <v>-50</v>
      </c>
      <c r="P3316" t="n">
        <v>0.002487</v>
      </c>
      <c r="Q3316" t="n">
        <v>-40</v>
      </c>
      <c r="R3316" t="n">
        <v>0.03665</v>
      </c>
      <c r="S3316">
        <f>IMAGE("https://mitra.stanford.edu/kundaje/oak/projects/neuro-variants/variant_position/credible/roussos_2024/variant_figures/roussos_2024.childhood.Astrocyte/rs31598_count_position.png",4,220,900)</f>
        <v/>
      </c>
      <c r="T3316">
        <f>IMAGE("https://mitra.stanford.edu/kundaje/oak/projects/neuro-variants/variant_position/credible/roussos_2024/variant_figures/roussos_2024.childhood.Astrocyte/rs31598_profile_position.png",4,220,900)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0.05268925824</v>
      </c>
      <c r="G3317" t="n">
        <v>0.217890552187608</v>
      </c>
      <c r="H3317" t="n">
        <v>0.0163253864185696</v>
      </c>
      <c r="I3317" t="n">
        <v>0.2367817055183894</v>
      </c>
      <c r="J3317" t="n">
        <v>0.0167868837443612</v>
      </c>
      <c r="K3317" t="n">
        <v>0.6550593735794803</v>
      </c>
      <c r="L3317" t="b">
        <v>0</v>
      </c>
      <c r="M3317" t="b">
        <v>0</v>
      </c>
      <c r="N3317" t="inlineStr">
        <is>
          <t>alt</t>
        </is>
      </c>
      <c r="O3317" t="n">
        <v>85</v>
      </c>
      <c r="P3317" t="n">
        <v>0.02527</v>
      </c>
      <c r="Q3317" t="n">
        <v>60</v>
      </c>
      <c r="R3317" t="n">
        <v>0.0703</v>
      </c>
      <c r="S3317">
        <f>IMAGE("https://mitra.stanford.edu/kundaje/oak/projects/neuro-variants/variant_position/credible/roussos_2024/variant_figures/roussos_2024.childhood.Astrocyte/rs253243_count_position.png",4,220,900)</f>
        <v/>
      </c>
      <c r="T3317">
        <f>IMAGE("https://mitra.stanford.edu/kundaje/oak/projects/neuro-variants/variant_position/credible/roussos_2024/variant_figures/roussos_2024.childhood.Astrocyte/rs253243_profile_position.png",4,220,900)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0.0313636732</v>
      </c>
      <c r="G3318" t="n">
        <v>0.3661554899777246</v>
      </c>
      <c r="H3318" t="n">
        <v>0.0283691655743347</v>
      </c>
      <c r="I3318" t="n">
        <v>0.037497538747185</v>
      </c>
      <c r="J3318" t="n">
        <v>0.0055658598765007</v>
      </c>
      <c r="K3318" t="n">
        <v>0.7623957668744566</v>
      </c>
      <c r="L3318" t="b">
        <v>0</v>
      </c>
      <c r="M3318" t="b">
        <v>0</v>
      </c>
      <c r="N3318" t="inlineStr">
        <is>
          <t>alt</t>
        </is>
      </c>
      <c r="O3318" t="n">
        <v>-70</v>
      </c>
      <c r="P3318" t="n">
        <v>0.002808</v>
      </c>
      <c r="Q3318" t="n">
        <v>-100</v>
      </c>
      <c r="R3318" t="n">
        <v>0.1144</v>
      </c>
      <c r="S3318">
        <f>IMAGE("https://mitra.stanford.edu/kundaje/oak/projects/neuro-variants/variant_position/credible/roussos_2024/variant_figures/roussos_2024.childhood.Astrocyte/rs845739_count_position.png",4,220,900)</f>
        <v/>
      </c>
      <c r="T3318">
        <f>IMAGE("https://mitra.stanford.edu/kundaje/oak/projects/neuro-variants/variant_position/credible/roussos_2024/variant_figures/roussos_2024.childhood.Astrocyte/rs845739_profile_position.png",4,220,900)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-0.0441749403999999</v>
      </c>
      <c r="G3319" t="n">
        <v>0.2920236737810863</v>
      </c>
      <c r="H3319" t="n">
        <v>0.0292573273945755</v>
      </c>
      <c r="I3319" t="n">
        <v>0.0340549515992884</v>
      </c>
      <c r="J3319" t="n">
        <v>0.8178051033103586</v>
      </c>
      <c r="K3319" t="n">
        <v>0.0069031969011257</v>
      </c>
      <c r="L3319" t="b">
        <v>0</v>
      </c>
      <c r="M3319" t="b">
        <v>0</v>
      </c>
      <c r="N3319" t="inlineStr">
        <is>
          <t>ref</t>
        </is>
      </c>
      <c r="O3319" t="n">
        <v>-45</v>
      </c>
      <c r="P3319" t="n">
        <v>0.01001</v>
      </c>
      <c r="Q3319" t="n">
        <v>90</v>
      </c>
      <c r="R3319" t="n">
        <v>0.1384</v>
      </c>
      <c r="S3319">
        <f>IMAGE("https://mitra.stanford.edu/kundaje/oak/projects/neuro-variants/variant_position/credible/roussos_2024/variant_figures/roussos_2024.childhood.Astrocyte/rs1438662_count_position.png",4,220,900)</f>
        <v/>
      </c>
      <c r="T3319">
        <f>IMAGE("https://mitra.stanford.edu/kundaje/oak/projects/neuro-variants/variant_position/credible/roussos_2024/variant_figures/roussos_2024.childhood.Astrocyte/rs1438662_profile_position.png",4,220,900)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-0.08640130660000001</v>
      </c>
      <c r="G3320" t="n">
        <v>0.0969760108445064</v>
      </c>
      <c r="H3320" t="n">
        <v>0.0225772397477387</v>
      </c>
      <c r="I3320" t="n">
        <v>0.0897689187943409</v>
      </c>
      <c r="J3320" t="n">
        <v>0.0274919282819261</v>
      </c>
      <c r="K3320" t="n">
        <v>0.5408763284464719</v>
      </c>
      <c r="L3320" t="b">
        <v>0</v>
      </c>
      <c r="M3320" t="b">
        <v>0</v>
      </c>
      <c r="N3320" t="inlineStr">
        <is>
          <t>ref</t>
        </is>
      </c>
      <c r="O3320" t="n">
        <v>-15</v>
      </c>
      <c r="P3320" t="n">
        <v>0.002106</v>
      </c>
      <c r="Q3320" t="n">
        <v>-55</v>
      </c>
      <c r="R3320" t="n">
        <v>0.057</v>
      </c>
      <c r="S3320">
        <f>IMAGE("https://mitra.stanford.edu/kundaje/oak/projects/neuro-variants/variant_position/credible/roussos_2024/variant_figures/roussos_2024.childhood.Astrocyte/rs3819904_count_position.png",4,220,900)</f>
        <v/>
      </c>
      <c r="T3320">
        <f>IMAGE("https://mitra.stanford.edu/kundaje/oak/projects/neuro-variants/variant_position/credible/roussos_2024/variant_figures/roussos_2024.childhood.Astrocyte/rs3819904_profile_position.png",4,220,900)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-0.0014164255</v>
      </c>
      <c r="G3321" t="n">
        <v>0.7741533770655036</v>
      </c>
      <c r="H3321" t="n">
        <v>0.0249460615790679</v>
      </c>
      <c r="I3321" t="n">
        <v>0.0605318656466122</v>
      </c>
      <c r="J3321" t="n">
        <v>0.0266118629448985</v>
      </c>
      <c r="K3321" t="n">
        <v>0.5466677581020384</v>
      </c>
      <c r="L3321" t="b">
        <v>0</v>
      </c>
      <c r="M3321" t="b">
        <v>0</v>
      </c>
      <c r="N3321" t="inlineStr">
        <is>
          <t>ref</t>
        </is>
      </c>
      <c r="O3321" t="n">
        <v>40</v>
      </c>
      <c r="P3321" t="n">
        <v>0.0185</v>
      </c>
      <c r="Q3321" t="n">
        <v>55</v>
      </c>
      <c r="R3321" t="n">
        <v>0.1302</v>
      </c>
      <c r="S3321">
        <f>IMAGE("https://mitra.stanford.edu/kundaje/oak/projects/neuro-variants/variant_position/credible/roussos_2024/variant_figures/roussos_2024.childhood.Astrocyte/rs1370960_count_position.png",4,220,900)</f>
        <v/>
      </c>
      <c r="T3321">
        <f>IMAGE("https://mitra.stanford.edu/kundaje/oak/projects/neuro-variants/variant_position/credible/roussos_2024/variant_figures/roussos_2024.childhood.Astrocyte/rs1370960_profile_position.png",4,220,900)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0.1202949555999999</v>
      </c>
      <c r="G3322" t="n">
        <v>0.0531370181246483</v>
      </c>
      <c r="H3322" t="n">
        <v>0.0259705155582189</v>
      </c>
      <c r="I3322" t="n">
        <v>0.0539393810579466</v>
      </c>
      <c r="J3322" t="n">
        <v>0.0143420881897215</v>
      </c>
      <c r="K3322" t="n">
        <v>0.6541618734373736</v>
      </c>
      <c r="L3322" t="b">
        <v>0</v>
      </c>
      <c r="M3322" t="b">
        <v>0</v>
      </c>
      <c r="N3322" t="inlineStr">
        <is>
          <t>alt</t>
        </is>
      </c>
      <c r="O3322" t="n">
        <v>-100</v>
      </c>
      <c r="P3322" t="n">
        <v>0.003206</v>
      </c>
      <c r="Q3322" t="n">
        <v>80</v>
      </c>
      <c r="R3322" t="n">
        <v>0.05466</v>
      </c>
      <c r="S3322">
        <f>IMAGE("https://mitra.stanford.edu/kundaje/oak/projects/neuro-variants/variant_position/credible/roussos_2024/variant_figures/roussos_2024.childhood.Astrocyte/rs6897334_count_position.png",4,220,900)</f>
        <v/>
      </c>
      <c r="T3322">
        <f>IMAGE("https://mitra.stanford.edu/kundaje/oak/projects/neuro-variants/variant_position/credible/roussos_2024/variant_figures/roussos_2024.childhood.Astrocyte/rs6897334_profile_position.png",4,220,900)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0.0002623792599999</v>
      </c>
      <c r="G3323" t="n">
        <v>0.5971870879406718</v>
      </c>
      <c r="H3323" t="n">
        <v>0.011370320064463</v>
      </c>
      <c r="I3323" t="n">
        <v>0.5696868130842008</v>
      </c>
      <c r="J3323" t="n">
        <v>0.0041034095853082</v>
      </c>
      <c r="K3323" t="n">
        <v>0.7989266891080687</v>
      </c>
      <c r="L3323" t="b">
        <v>0</v>
      </c>
      <c r="M3323" t="b">
        <v>0</v>
      </c>
      <c r="N3323" t="inlineStr">
        <is>
          <t>alt</t>
        </is>
      </c>
      <c r="O3323" t="n">
        <v>-10</v>
      </c>
      <c r="P3323" t="n">
        <v>0.001703</v>
      </c>
      <c r="Q3323" t="n">
        <v>85</v>
      </c>
      <c r="R3323" t="n">
        <v>0.1572</v>
      </c>
      <c r="S3323">
        <f>IMAGE("https://mitra.stanford.edu/kundaje/oak/projects/neuro-variants/variant_position/credible/roussos_2024/variant_figures/roussos_2024.childhood.Astrocyte/rs2269201_count_position.png",4,220,900)</f>
        <v/>
      </c>
      <c r="T3323">
        <f>IMAGE("https://mitra.stanford.edu/kundaje/oak/projects/neuro-variants/variant_position/credible/roussos_2024/variant_figures/roussos_2024.childhood.Astrocyte/rs2269201_profile_position.png",4,220,900)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0.035890995</v>
      </c>
      <c r="G3324" t="n">
        <v>0.3146628121377717</v>
      </c>
      <c r="H3324" t="n">
        <v>0.0086839736513676</v>
      </c>
      <c r="I3324" t="n">
        <v>0.8344178899529393</v>
      </c>
      <c r="J3324" t="n">
        <v>0.0017028844465815</v>
      </c>
      <c r="K3324" t="n">
        <v>0.8727300334929137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0.03845</v>
      </c>
      <c r="Q3324" t="n">
        <v>-80</v>
      </c>
      <c r="R3324" t="n">
        <v>0.02933</v>
      </c>
      <c r="S3324">
        <f>IMAGE("https://mitra.stanford.edu/kundaje/oak/projects/neuro-variants/variant_position/credible/roussos_2024/variant_figures/roussos_2024.childhood.Astrocyte/rs34387996_count_position.png",4,220,900)</f>
        <v/>
      </c>
      <c r="T3324">
        <f>IMAGE("https://mitra.stanford.edu/kundaje/oak/projects/neuro-variants/variant_position/credible/roussos_2024/variant_figures/roussos_2024.childhood.Astrocyte/rs34387996_profile_position.png",4,220,900)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0.02428502608</v>
      </c>
      <c r="G3325" t="n">
        <v>0.45163423110099</v>
      </c>
      <c r="H3325" t="n">
        <v>0.0296448135951496</v>
      </c>
      <c r="I3325" t="n">
        <v>0.0328053352558543</v>
      </c>
      <c r="J3325" t="n">
        <v>3.282117041820277e-05</v>
      </c>
      <c r="K3325" t="n">
        <v>0.9973964097033881</v>
      </c>
      <c r="L3325" t="b">
        <v>0</v>
      </c>
      <c r="M3325" t="b">
        <v>0</v>
      </c>
      <c r="N3325" t="inlineStr">
        <is>
          <t>alt</t>
        </is>
      </c>
      <c r="O3325" t="n">
        <v>100</v>
      </c>
      <c r="P3325" t="n">
        <v>0.01238</v>
      </c>
      <c r="Q3325" t="n">
        <v>-100</v>
      </c>
      <c r="R3325" t="n">
        <v>0.02356</v>
      </c>
      <c r="S3325">
        <f>IMAGE("https://mitra.stanford.edu/kundaje/oak/projects/neuro-variants/variant_position/credible/roussos_2024/variant_figures/roussos_2024.childhood.Astrocyte/rs10463428_count_position.png",4,220,900)</f>
        <v/>
      </c>
      <c r="T3325">
        <f>IMAGE("https://mitra.stanford.edu/kundaje/oak/projects/neuro-variants/variant_position/credible/roussos_2024/variant_figures/roussos_2024.childhood.Astrocyte/rs10463428_profile_position.png",4,220,900)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-0.0502536898</v>
      </c>
      <c r="G3326" t="n">
        <v>0.219960592136758</v>
      </c>
      <c r="H3326" t="n">
        <v>0.0162144288905466</v>
      </c>
      <c r="I3326" t="n">
        <v>0.238034645928867</v>
      </c>
      <c r="J3326" t="n">
        <v>0.0113042217184553</v>
      </c>
      <c r="K3326" t="n">
        <v>0.6715518656804575</v>
      </c>
      <c r="L3326" t="b">
        <v>0</v>
      </c>
      <c r="M3326" t="b">
        <v>0</v>
      </c>
      <c r="N3326" t="inlineStr">
        <is>
          <t>ref</t>
        </is>
      </c>
      <c r="O3326" t="n">
        <v>75</v>
      </c>
      <c r="P3326" t="n">
        <v>0.0382</v>
      </c>
      <c r="Q3326" t="n">
        <v>100</v>
      </c>
      <c r="R3326" t="n">
        <v>0.1242</v>
      </c>
      <c r="S3326">
        <f>IMAGE("https://mitra.stanford.edu/kundaje/oak/projects/neuro-variants/variant_position/credible/roussos_2024/variant_figures/roussos_2024.childhood.Astrocyte/rs2416217_count_position.png",4,220,900)</f>
        <v/>
      </c>
      <c r="T3326">
        <f>IMAGE("https://mitra.stanford.edu/kundaje/oak/projects/neuro-variants/variant_position/credible/roussos_2024/variant_figures/roussos_2024.childhood.Astrocyte/rs2416217_profile_position.png",4,220,900)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-0.020360205</v>
      </c>
      <c r="G3327" t="n">
        <v>0.5225316015222139</v>
      </c>
      <c r="H3327" t="n">
        <v>0.0117560377688655</v>
      </c>
      <c r="I3327" t="n">
        <v>0.536272938756817</v>
      </c>
      <c r="J3327" t="n">
        <v>0.0112057582072007</v>
      </c>
      <c r="K3327" t="n">
        <v>0.6725697868271034</v>
      </c>
      <c r="L3327" t="b">
        <v>0</v>
      </c>
      <c r="M3327" t="b">
        <v>0</v>
      </c>
      <c r="N3327" t="inlineStr">
        <is>
          <t>ref</t>
        </is>
      </c>
      <c r="O3327" t="n">
        <v>75</v>
      </c>
      <c r="P3327" t="n">
        <v>0.0369</v>
      </c>
      <c r="Q3327" t="n">
        <v>85</v>
      </c>
      <c r="R3327" t="n">
        <v>0.12177</v>
      </c>
      <c r="S3327">
        <f>IMAGE("https://mitra.stanford.edu/kundaje/oak/projects/neuro-variants/variant_position/credible/roussos_2024/variant_figures/roussos_2024.childhood.Astrocyte/rs2416218_count_position.png",4,220,900)</f>
        <v/>
      </c>
      <c r="T3327">
        <f>IMAGE("https://mitra.stanford.edu/kundaje/oak/projects/neuro-variants/variant_position/credible/roussos_2024/variant_figures/roussos_2024.childhood.Astrocyte/rs2416218_profile_position.png",4,220,900)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-0.0891083903999999</v>
      </c>
      <c r="G3328" t="n">
        <v>0.0870161793448785</v>
      </c>
      <c r="H3328" t="n">
        <v>0.0240194412962994</v>
      </c>
      <c r="I3328" t="n">
        <v>0.06919891513663461</v>
      </c>
      <c r="J3328" t="n">
        <v>0.0291390930671001</v>
      </c>
      <c r="K3328" t="n">
        <v>0.5375176064944023</v>
      </c>
      <c r="L3328" t="b">
        <v>0</v>
      </c>
      <c r="M3328" t="b">
        <v>0</v>
      </c>
      <c r="N3328" t="inlineStr">
        <is>
          <t>ref</t>
        </is>
      </c>
      <c r="O3328" t="n">
        <v>-95</v>
      </c>
      <c r="P3328" t="n">
        <v>0.004837</v>
      </c>
      <c r="Q3328" t="n">
        <v>-15</v>
      </c>
      <c r="R3328" t="n">
        <v>0.06320000000000001</v>
      </c>
      <c r="S3328">
        <f>IMAGE("https://mitra.stanford.edu/kundaje/oak/projects/neuro-variants/variant_position/credible/roussos_2024/variant_figures/roussos_2024.childhood.Astrocyte/rs3756597_count_position.png",4,220,900)</f>
        <v/>
      </c>
      <c r="T3328">
        <f>IMAGE("https://mitra.stanford.edu/kundaje/oak/projects/neuro-variants/variant_position/credible/roussos_2024/variant_figures/roussos_2024.childhood.Astrocyte/rs3756597_profile_position.png",4,220,900)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-0.07669589119999989</v>
      </c>
      <c r="G3329" t="n">
        <v>0.1217714179224324</v>
      </c>
      <c r="H3329" t="n">
        <v>0.0211133344597745</v>
      </c>
      <c r="I3329" t="n">
        <v>0.1075704894200626</v>
      </c>
      <c r="J3329" t="n">
        <v>0.0009212826208085</v>
      </c>
      <c r="K3329" t="n">
        <v>0.9188457163749268</v>
      </c>
      <c r="L3329" t="b">
        <v>0</v>
      </c>
      <c r="M3329" t="b">
        <v>0</v>
      </c>
      <c r="N3329" t="inlineStr">
        <is>
          <t>ref</t>
        </is>
      </c>
      <c r="O3329" t="n">
        <v>80</v>
      </c>
      <c r="P3329" t="n">
        <v>0.007187</v>
      </c>
      <c r="Q3329" t="n">
        <v>-75</v>
      </c>
      <c r="R3329" t="n">
        <v>0.03735</v>
      </c>
      <c r="S3329">
        <f>IMAGE("https://mitra.stanford.edu/kundaje/oak/projects/neuro-variants/variant_position/credible/roussos_2024/variant_figures/roussos_2024.childhood.Astrocyte/rs13187248_count_position.png",4,220,900)</f>
        <v/>
      </c>
      <c r="T3329">
        <f>IMAGE("https://mitra.stanford.edu/kundaje/oak/projects/neuro-variants/variant_position/credible/roussos_2024/variant_figures/roussos_2024.childhood.Astrocyte/rs13187248_profile_position.png",4,220,900)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0.0286209196</v>
      </c>
      <c r="G3330" t="n">
        <v>0.3840110773771867</v>
      </c>
      <c r="H3330" t="n">
        <v>0.0089838219325711</v>
      </c>
      <c r="I3330" t="n">
        <v>0.8090132754854449</v>
      </c>
      <c r="J3330" t="n">
        <v>0.0006510804271331</v>
      </c>
      <c r="K3330" t="n">
        <v>0.9357451813653436</v>
      </c>
      <c r="L3330" t="b">
        <v>0</v>
      </c>
      <c r="M3330" t="b">
        <v>0</v>
      </c>
      <c r="N3330" t="inlineStr">
        <is>
          <t>alt</t>
        </is>
      </c>
      <c r="O3330" t="n">
        <v>-35</v>
      </c>
      <c r="P3330" t="n">
        <v>0.009339999999999999</v>
      </c>
      <c r="Q3330" t="n">
        <v>-100</v>
      </c>
      <c r="R3330" t="n">
        <v>0.1929</v>
      </c>
      <c r="S3330">
        <f>IMAGE("https://mitra.stanford.edu/kundaje/oak/projects/neuro-variants/variant_position/credible/roussos_2024/variant_figures/roussos_2024.childhood.Astrocyte/rs13187428_count_position.png",4,220,900)</f>
        <v/>
      </c>
      <c r="T3330">
        <f>IMAGE("https://mitra.stanford.edu/kundaje/oak/projects/neuro-variants/variant_position/credible/roussos_2024/variant_figures/roussos_2024.childhood.Astrocyte/rs13187428_profile_position.png",4,220,900)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-0.02015450436</v>
      </c>
      <c r="G3331" t="n">
        <v>0.5408715327933737</v>
      </c>
      <c r="H3331" t="n">
        <v>0.0387641481362919</v>
      </c>
      <c r="I3331" t="n">
        <v>0.0109010347926498</v>
      </c>
      <c r="J3331" t="n">
        <v>0.0114171876073366</v>
      </c>
      <c r="K3331" t="n">
        <v>0.677040941933062</v>
      </c>
      <c r="L3331" t="b">
        <v>1</v>
      </c>
      <c r="M3331" t="b">
        <v>0</v>
      </c>
      <c r="N3331" t="inlineStr">
        <is>
          <t>ref</t>
        </is>
      </c>
      <c r="O3331" t="n">
        <v>-70</v>
      </c>
      <c r="P3331" t="n">
        <v>0.012024</v>
      </c>
      <c r="Q3331" t="n">
        <v>50</v>
      </c>
      <c r="R3331" t="n">
        <v>0.10046</v>
      </c>
      <c r="S3331">
        <f>IMAGE("https://mitra.stanford.edu/kundaje/oak/projects/neuro-variants/variant_position/credible/roussos_2024/variant_figures/roussos_2024.childhood.Astrocyte/rs10041575_count_position.png",4,220,900)</f>
        <v/>
      </c>
      <c r="T3331">
        <f>IMAGE("https://mitra.stanford.edu/kundaje/oak/projects/neuro-variants/variant_position/credible/roussos_2024/variant_figures/roussos_2024.childhood.Astrocyte/rs10041575_profile_position.png",4,220,900)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0.009323137416000001</v>
      </c>
      <c r="G3332" t="n">
        <v>0.7128922266773875</v>
      </c>
      <c r="H3332" t="n">
        <v>0.0107028952431872</v>
      </c>
      <c r="I3332" t="n">
        <v>0.6297072528126993</v>
      </c>
      <c r="J3332" t="n">
        <v>0.0021898590216237</v>
      </c>
      <c r="K3332" t="n">
        <v>0.851647352357826</v>
      </c>
      <c r="L3332" t="b">
        <v>0</v>
      </c>
      <c r="M3332" t="b">
        <v>0</v>
      </c>
      <c r="N3332" t="inlineStr">
        <is>
          <t>alt</t>
        </is>
      </c>
      <c r="O3332" t="n">
        <v>-10</v>
      </c>
      <c r="P3332" t="n">
        <v>0.005337</v>
      </c>
      <c r="Q3332" t="n">
        <v>-100</v>
      </c>
      <c r="R3332" t="n">
        <v>0.01514</v>
      </c>
      <c r="S3332">
        <f>IMAGE("https://mitra.stanford.edu/kundaje/oak/projects/neuro-variants/variant_position/credible/roussos_2024/variant_figures/roussos_2024.childhood.Astrocyte/rs3753174_count_position.png",4,220,900)</f>
        <v/>
      </c>
      <c r="T3332">
        <f>IMAGE("https://mitra.stanford.edu/kundaje/oak/projects/neuro-variants/variant_position/credible/roussos_2024/variant_figures/roussos_2024.childhood.Astrocyte/rs3753174_profile_position.png",4,220,900)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0.020214188</v>
      </c>
      <c r="G3333" t="n">
        <v>0.5094090689612044</v>
      </c>
      <c r="H3333" t="n">
        <v>0.0285875242601076</v>
      </c>
      <c r="I3333" t="n">
        <v>0.0357918914772284</v>
      </c>
      <c r="J3333" t="n">
        <v>0.0010014273392716</v>
      </c>
      <c r="K3333" t="n">
        <v>0.916816982096577</v>
      </c>
      <c r="L3333" t="b">
        <v>0</v>
      </c>
      <c r="M3333" t="b">
        <v>0</v>
      </c>
      <c r="N3333" t="inlineStr">
        <is>
          <t>alt</t>
        </is>
      </c>
      <c r="O3333" t="n">
        <v>55</v>
      </c>
      <c r="P3333" t="n">
        <v>0.00457</v>
      </c>
      <c r="Q3333" t="n">
        <v>-60</v>
      </c>
      <c r="R3333" t="n">
        <v>0.0398</v>
      </c>
      <c r="S3333">
        <f>IMAGE("https://mitra.stanford.edu/kundaje/oak/projects/neuro-variants/variant_position/credible/roussos_2024/variant_figures/roussos_2024.childhood.Astrocyte/rs2042164_count_position.png",4,220,900)</f>
        <v/>
      </c>
      <c r="T3333">
        <f>IMAGE("https://mitra.stanford.edu/kundaje/oak/projects/neuro-variants/variant_position/credible/roussos_2024/variant_figures/roussos_2024.childhood.Astrocyte/rs2042164_profile_position.png",4,220,900)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0.0477498276</v>
      </c>
      <c r="G3334" t="n">
        <v>0.235695848537717</v>
      </c>
      <c r="H3334" t="n">
        <v>0.0130815817153099</v>
      </c>
      <c r="I3334" t="n">
        <v>0.4223011635621595</v>
      </c>
      <c r="J3334" t="n">
        <v>0.001270866249914</v>
      </c>
      <c r="K3334" t="n">
        <v>0.9195374591193736</v>
      </c>
      <c r="L3334" t="b">
        <v>0</v>
      </c>
      <c r="M3334" t="b">
        <v>0</v>
      </c>
      <c r="N3334" t="inlineStr">
        <is>
          <t>alt</t>
        </is>
      </c>
      <c r="O3334" t="n">
        <v>100</v>
      </c>
      <c r="P3334" t="n">
        <v>0.0582</v>
      </c>
      <c r="Q3334" t="n">
        <v>70</v>
      </c>
      <c r="R3334" t="n">
        <v>0.05624</v>
      </c>
      <c r="S3334">
        <f>IMAGE("https://mitra.stanford.edu/kundaje/oak/projects/neuro-variants/variant_position/credible/roussos_2024/variant_figures/roussos_2024.childhood.Astrocyte/rs34595717_count_position.png",4,220,900)</f>
        <v/>
      </c>
      <c r="T3334">
        <f>IMAGE("https://mitra.stanford.edu/kundaje/oak/projects/neuro-variants/variant_position/credible/roussos_2024/variant_figures/roussos_2024.childhood.Astrocyte/rs34595717_profile_position.png",4,220,900)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-0.009099329200000001</v>
      </c>
      <c r="G3335" t="n">
        <v>0.3380034289272953</v>
      </c>
      <c r="H3335" t="n">
        <v>0.0174838400867466</v>
      </c>
      <c r="I3335" t="n">
        <v>0.204032128064715</v>
      </c>
      <c r="J3335" t="n">
        <v>0.008902933296695699</v>
      </c>
      <c r="K3335" t="n">
        <v>0.7046132741372387</v>
      </c>
      <c r="L3335" t="b">
        <v>0</v>
      </c>
      <c r="M3335" t="b">
        <v>0</v>
      </c>
      <c r="N3335" t="inlineStr">
        <is>
          <t>ref</t>
        </is>
      </c>
      <c r="O3335" t="n">
        <v>-100</v>
      </c>
      <c r="P3335" t="n">
        <v>0.005394</v>
      </c>
      <c r="Q3335" t="n">
        <v>-30</v>
      </c>
      <c r="R3335" t="n">
        <v>0.03027</v>
      </c>
      <c r="S3335">
        <f>IMAGE("https://mitra.stanford.edu/kundaje/oak/projects/neuro-variants/variant_position/credible/roussos_2024/variant_figures/roussos_2024.childhood.Astrocyte/rs13189822_count_position.png",4,220,900)</f>
        <v/>
      </c>
      <c r="T3335">
        <f>IMAGE("https://mitra.stanford.edu/kundaje/oak/projects/neuro-variants/variant_position/credible/roussos_2024/variant_figures/roussos_2024.childhood.Astrocyte/rs13189822_profile_position.png",4,220,900)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-0.039497088</v>
      </c>
      <c r="G3336" t="n">
        <v>0.3072078861665838</v>
      </c>
      <c r="H3336" t="n">
        <v>0.0288694359505127</v>
      </c>
      <c r="I3336" t="n">
        <v>0.0344261926611879</v>
      </c>
      <c r="J3336" t="n">
        <v>0.0436987169212215</v>
      </c>
      <c r="K3336" t="n">
        <v>0.4745566716616884</v>
      </c>
      <c r="L3336" t="b">
        <v>0</v>
      </c>
      <c r="M3336" t="b">
        <v>0</v>
      </c>
      <c r="N3336" t="inlineStr">
        <is>
          <t>ref</t>
        </is>
      </c>
      <c r="O3336" t="n">
        <v>-85</v>
      </c>
      <c r="P3336" t="n">
        <v>0.01194</v>
      </c>
      <c r="Q3336" t="n">
        <v>-95</v>
      </c>
      <c r="R3336" t="n">
        <v>0.1256</v>
      </c>
      <c r="S3336">
        <f>IMAGE("https://mitra.stanford.edu/kundaje/oak/projects/neuro-variants/variant_position/credible/roussos_2024/variant_figures/roussos_2024.childhood.Astrocyte/rs2269205_count_position.png",4,220,900)</f>
        <v/>
      </c>
      <c r="T3336">
        <f>IMAGE("https://mitra.stanford.edu/kundaje/oak/projects/neuro-variants/variant_position/credible/roussos_2024/variant_figures/roussos_2024.childhood.Astrocyte/rs2269205_profile_position.png",4,220,900)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-0.0265606102</v>
      </c>
      <c r="G3337" t="n">
        <v>0.4325916836161715</v>
      </c>
      <c r="H3337" t="n">
        <v>0.0078045081441779</v>
      </c>
      <c r="I3337" t="n">
        <v>0.9238772460775252</v>
      </c>
      <c r="J3337" t="n">
        <v>0.0397991039057192</v>
      </c>
      <c r="K3337" t="n">
        <v>0.4961418958310449</v>
      </c>
      <c r="L3337" t="b">
        <v>0</v>
      </c>
      <c r="M3337" t="b">
        <v>0</v>
      </c>
      <c r="N3337" t="inlineStr">
        <is>
          <t>ref</t>
        </is>
      </c>
      <c r="O3337" t="n">
        <v>10</v>
      </c>
      <c r="P3337" t="n">
        <v>0.001841</v>
      </c>
      <c r="Q3337" t="n">
        <v>-100</v>
      </c>
      <c r="R3337" t="n">
        <v>0.3403</v>
      </c>
      <c r="S3337">
        <f>IMAGE("https://mitra.stanford.edu/kundaje/oak/projects/neuro-variants/variant_position/credible/roussos_2024/variant_figures/roussos_2024.childhood.Astrocyte/rs2269206_count_position.png",4,220,900)</f>
        <v/>
      </c>
      <c r="T3337">
        <f>IMAGE("https://mitra.stanford.edu/kundaje/oak/projects/neuro-variants/variant_position/credible/roussos_2024/variant_figures/roussos_2024.childhood.Astrocyte/rs2269206_profile_position.png",4,220,900)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0.0162476534</v>
      </c>
      <c r="G3338" t="n">
        <v>0.5866638262174025</v>
      </c>
      <c r="H3338" t="n">
        <v>0.0206338203219746</v>
      </c>
      <c r="I3338" t="n">
        <v>0.1128924042613746</v>
      </c>
      <c r="J3338" t="n">
        <v>0.0972193599108484</v>
      </c>
      <c r="K3338" t="n">
        <v>0.3382922005877926</v>
      </c>
      <c r="L3338" t="b">
        <v>0</v>
      </c>
      <c r="M3338" t="b">
        <v>0</v>
      </c>
      <c r="N3338" t="inlineStr">
        <is>
          <t>alt</t>
        </is>
      </c>
      <c r="O3338" t="n">
        <v>-25</v>
      </c>
      <c r="P3338" t="n">
        <v>0.0003128</v>
      </c>
      <c r="Q3338" t="n">
        <v>-100</v>
      </c>
      <c r="R3338" t="n">
        <v>0.0993</v>
      </c>
      <c r="S3338">
        <f>IMAGE("https://mitra.stanford.edu/kundaje/oak/projects/neuro-variants/variant_position/credible/roussos_2024/variant_figures/roussos_2024.childhood.Astrocyte/rs2301009_count_position.png",4,220,900)</f>
        <v/>
      </c>
      <c r="T3338">
        <f>IMAGE("https://mitra.stanford.edu/kundaje/oak/projects/neuro-variants/variant_position/credible/roussos_2024/variant_figures/roussos_2024.childhood.Astrocyte/rs2301009_profile_position.png",4,220,900)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0.00243963865</v>
      </c>
      <c r="G3339" t="n">
        <v>0.8240151328172949</v>
      </c>
      <c r="H3339" t="n">
        <v>0.0325143413147342</v>
      </c>
      <c r="I3339" t="n">
        <v>0.0215437137266585</v>
      </c>
      <c r="J3339" t="n">
        <v>0.0043369741934006</v>
      </c>
      <c r="K3339" t="n">
        <v>0.7987108238703352</v>
      </c>
      <c r="L3339" t="b">
        <v>0</v>
      </c>
      <c r="M3339" t="b">
        <v>0</v>
      </c>
      <c r="N3339" t="inlineStr">
        <is>
          <t>alt</t>
        </is>
      </c>
      <c r="O3339" t="n">
        <v>-100</v>
      </c>
      <c r="P3339" t="n">
        <v>0.007904</v>
      </c>
      <c r="Q3339" t="n">
        <v>30</v>
      </c>
      <c r="R3339" t="n">
        <v>0.0951</v>
      </c>
      <c r="S3339">
        <f>IMAGE("https://mitra.stanford.edu/kundaje/oak/projects/neuro-variants/variant_position/credible/roussos_2024/variant_figures/roussos_2024.childhood.Astrocyte/rs1008661_count_position.png",4,220,900)</f>
        <v/>
      </c>
      <c r="T3339">
        <f>IMAGE("https://mitra.stanford.edu/kundaje/oak/projects/neuro-variants/variant_position/credible/roussos_2024/variant_figures/roussos_2024.childhood.Astrocyte/rs1008661_profile_position.png",4,220,900)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0.06324204559999989</v>
      </c>
      <c r="G3340" t="n">
        <v>0.1558642672702563</v>
      </c>
      <c r="H3340" t="n">
        <v>0.0125921783295263</v>
      </c>
      <c r="I3340" t="n">
        <v>0.4643397813620144</v>
      </c>
      <c r="J3340" t="n">
        <v>0.0026394327280498</v>
      </c>
      <c r="K3340" t="n">
        <v>0.833553661471977</v>
      </c>
      <c r="L3340" t="b">
        <v>0</v>
      </c>
      <c r="M3340" t="b">
        <v>0</v>
      </c>
      <c r="N3340" t="inlineStr">
        <is>
          <t>alt</t>
        </is>
      </c>
      <c r="O3340" t="n">
        <v>-95</v>
      </c>
      <c r="P3340" t="n">
        <v>0.08400000000000001</v>
      </c>
      <c r="Q3340" t="n">
        <v>-100</v>
      </c>
      <c r="R3340" t="n">
        <v>0.1562</v>
      </c>
      <c r="S3340">
        <f>IMAGE("https://mitra.stanford.edu/kundaje/oak/projects/neuro-variants/variant_position/credible/roussos_2024/variant_figures/roussos_2024.childhood.Astrocyte/rs34052755_count_position.png",4,220,900)</f>
        <v/>
      </c>
      <c r="T3340">
        <f>IMAGE("https://mitra.stanford.edu/kundaje/oak/projects/neuro-variants/variant_position/credible/roussos_2024/variant_figures/roussos_2024.childhood.Astrocyte/rs34052755_profile_position.png",4,220,900)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-0.057392464</v>
      </c>
      <c r="G3341" t="n">
        <v>0.1802473765589179</v>
      </c>
      <c r="H3341" t="n">
        <v>0.0123055480268115</v>
      </c>
      <c r="I3341" t="n">
        <v>0.4795976503812877</v>
      </c>
      <c r="J3341" t="n">
        <v>0.0027088914840511</v>
      </c>
      <c r="K3341" t="n">
        <v>0.8364357529403496</v>
      </c>
      <c r="L3341" t="b">
        <v>0</v>
      </c>
      <c r="M3341" t="b">
        <v>0</v>
      </c>
      <c r="N3341" t="inlineStr">
        <is>
          <t>ref</t>
        </is>
      </c>
      <c r="O3341" t="n">
        <v>-60</v>
      </c>
      <c r="P3341" t="n">
        <v>0.005764</v>
      </c>
      <c r="Q3341" t="n">
        <v>25</v>
      </c>
      <c r="R3341" t="n">
        <v>0.02258</v>
      </c>
      <c r="S3341">
        <f>IMAGE("https://mitra.stanford.edu/kundaje/oak/projects/neuro-variants/variant_position/credible/roussos_2024/variant_figures/roussos_2024.childhood.Astrocyte/rs4141495_count_position.png",4,220,900)</f>
        <v/>
      </c>
      <c r="T3341">
        <f>IMAGE("https://mitra.stanford.edu/kundaje/oak/projects/neuro-variants/variant_position/credible/roussos_2024/variant_figures/roussos_2024.childhood.Astrocyte/rs4141495_profile_position.png",4,220,900)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0.0100586783399999</v>
      </c>
      <c r="G3342" t="n">
        <v>0.6538741511836236</v>
      </c>
      <c r="H3342" t="n">
        <v>0.008572078059832001</v>
      </c>
      <c r="I3342" t="n">
        <v>0.8613083720660525</v>
      </c>
      <c r="J3342" t="n">
        <v>0.0462061016845656</v>
      </c>
      <c r="K3342" t="n">
        <v>0.4654694726682983</v>
      </c>
      <c r="L3342" t="b">
        <v>0</v>
      </c>
      <c r="M3342" t="b">
        <v>0</v>
      </c>
      <c r="N3342" t="inlineStr">
        <is>
          <t>alt</t>
        </is>
      </c>
      <c r="O3342" t="n">
        <v>-95</v>
      </c>
      <c r="P3342" t="n">
        <v>0.05597</v>
      </c>
      <c r="Q3342" t="n">
        <v>-100</v>
      </c>
      <c r="R3342" t="n">
        <v>0.1257</v>
      </c>
      <c r="S3342">
        <f>IMAGE("https://mitra.stanford.edu/kundaje/oak/projects/neuro-variants/variant_position/credible/roussos_2024/variant_figures/roussos_2024.childhood.Astrocyte/rs10515405_count_position.png",4,220,900)</f>
        <v/>
      </c>
      <c r="T3342">
        <f>IMAGE("https://mitra.stanford.edu/kundaje/oak/projects/neuro-variants/variant_position/credible/roussos_2024/variant_figures/roussos_2024.childhood.Astrocyte/rs10515405_profile_position.png",4,220,900)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-0.0206553858</v>
      </c>
      <c r="G3343" t="n">
        <v>0.1103685752931317</v>
      </c>
      <c r="H3343" t="n">
        <v>0.0213043464814481</v>
      </c>
      <c r="I3343" t="n">
        <v>0.1065958944958804</v>
      </c>
      <c r="J3343" t="n">
        <v>0.156233350888843</v>
      </c>
      <c r="K3343" t="n">
        <v>0.2519974997571164</v>
      </c>
      <c r="L3343" t="b">
        <v>0</v>
      </c>
      <c r="M3343" t="b">
        <v>0</v>
      </c>
      <c r="N3343" t="inlineStr">
        <is>
          <t>ref</t>
        </is>
      </c>
      <c r="O3343" t="n">
        <v>-65</v>
      </c>
      <c r="P3343" t="n">
        <v>0.013245</v>
      </c>
      <c r="Q3343" t="n">
        <v>65</v>
      </c>
      <c r="R3343" t="n">
        <v>0.1406</v>
      </c>
      <c r="S3343">
        <f>IMAGE("https://mitra.stanford.edu/kundaje/oak/projects/neuro-variants/variant_position/credible/roussos_2024/variant_figures/roussos_2024.childhood.Astrocyte/rs12518625_count_position.png",4,220,900)</f>
        <v/>
      </c>
      <c r="T3343">
        <f>IMAGE("https://mitra.stanford.edu/kundaje/oak/projects/neuro-variants/variant_position/credible/roussos_2024/variant_figures/roussos_2024.childhood.Astrocyte/rs12518625_profile_position.png",4,220,900)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-0.04654012476</v>
      </c>
      <c r="G3344" t="n">
        <v>0.2486342673030343</v>
      </c>
      <c r="H3344" t="n">
        <v>0.0155552698521142</v>
      </c>
      <c r="I3344" t="n">
        <v>0.2666030967818564</v>
      </c>
      <c r="J3344" t="n">
        <v>0.0053681695709585</v>
      </c>
      <c r="K3344" t="n">
        <v>0.763985393943211</v>
      </c>
      <c r="L3344" t="b">
        <v>0</v>
      </c>
      <c r="M3344" t="b">
        <v>0</v>
      </c>
      <c r="N3344" t="inlineStr">
        <is>
          <t>ref</t>
        </is>
      </c>
      <c r="O3344" t="n">
        <v>-55</v>
      </c>
      <c r="P3344" t="n">
        <v>0.003212</v>
      </c>
      <c r="Q3344" t="n">
        <v>100</v>
      </c>
      <c r="R3344" t="n">
        <v>0.0579</v>
      </c>
      <c r="S3344">
        <f>IMAGE("https://mitra.stanford.edu/kundaje/oak/projects/neuro-variants/variant_position/credible/roussos_2024/variant_figures/roussos_2024.childhood.Astrocyte/rs10065099_count_position.png",4,220,900)</f>
        <v/>
      </c>
      <c r="T3344">
        <f>IMAGE("https://mitra.stanford.edu/kundaje/oak/projects/neuro-variants/variant_position/credible/roussos_2024/variant_figures/roussos_2024.childhood.Astrocyte/rs10065099_profile_position.png",4,220,900)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-0.0416697193</v>
      </c>
      <c r="G3345" t="n">
        <v>0.148163964374375</v>
      </c>
      <c r="H3345" t="n">
        <v>0.0119237675264301</v>
      </c>
      <c r="I3345" t="n">
        <v>0.5182636292156464</v>
      </c>
      <c r="J3345" t="n">
        <v>0.0532450978147206</v>
      </c>
      <c r="K3345" t="n">
        <v>0.4309372477565063</v>
      </c>
      <c r="L3345" t="b">
        <v>0</v>
      </c>
      <c r="M3345" t="b">
        <v>0</v>
      </c>
      <c r="N3345" t="inlineStr">
        <is>
          <t>ref</t>
        </is>
      </c>
      <c r="O3345" t="n">
        <v>55</v>
      </c>
      <c r="P3345" t="n">
        <v>0.0531</v>
      </c>
      <c r="Q3345" t="n">
        <v>35</v>
      </c>
      <c r="R3345" t="n">
        <v>0.0188</v>
      </c>
      <c r="S3345">
        <f>IMAGE("https://mitra.stanford.edu/kundaje/oak/projects/neuro-variants/variant_position/credible/roussos_2024/variant_figures/roussos_2024.childhood.Astrocyte/rs17162347_count_position.png",4,220,900)</f>
        <v/>
      </c>
      <c r="T3345">
        <f>IMAGE("https://mitra.stanford.edu/kundaje/oak/projects/neuro-variants/variant_position/credible/roussos_2024/variant_figures/roussos_2024.childhood.Astrocyte/rs17162347_profile_position.png",4,220,900)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-0.0148921155199999</v>
      </c>
      <c r="G3346" t="n">
        <v>0.621108614887145</v>
      </c>
      <c r="H3346" t="n">
        <v>0.0438963714108771</v>
      </c>
      <c r="I3346" t="n">
        <v>0.006639313932459</v>
      </c>
      <c r="J3346" t="n">
        <v>0.0058162167113186</v>
      </c>
      <c r="K3346" t="n">
        <v>0.7551694756513831</v>
      </c>
      <c r="L3346" t="b">
        <v>0</v>
      </c>
      <c r="M3346" t="b">
        <v>0</v>
      </c>
      <c r="N3346" t="inlineStr">
        <is>
          <t>ref</t>
        </is>
      </c>
      <c r="O3346" t="n">
        <v>40</v>
      </c>
      <c r="P3346" t="n">
        <v>0.0004578</v>
      </c>
      <c r="Q3346" t="n">
        <v>-100</v>
      </c>
      <c r="R3346" t="n">
        <v>0.1141</v>
      </c>
      <c r="S3346">
        <f>IMAGE("https://mitra.stanford.edu/kundaje/oak/projects/neuro-variants/variant_position/credible/roussos_2024/variant_figures/roussos_2024.childhood.Astrocyte/rs12187114_count_position.png",4,220,900)</f>
        <v/>
      </c>
      <c r="T3346">
        <f>IMAGE("https://mitra.stanford.edu/kundaje/oak/projects/neuro-variants/variant_position/credible/roussos_2024/variant_figures/roussos_2024.childhood.Astrocyte/rs12187114_profile_position.png",4,220,900)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-0.0101716996</v>
      </c>
      <c r="G3347" t="n">
        <v>0.7145267982248689</v>
      </c>
      <c r="H3347" t="n">
        <v>0.0197817962539754</v>
      </c>
      <c r="I3347" t="n">
        <v>0.1351943769661521</v>
      </c>
      <c r="J3347" t="n">
        <v>0.0058078205979558</v>
      </c>
      <c r="K3347" t="n">
        <v>0.7551760455771176</v>
      </c>
      <c r="L3347" t="b">
        <v>0</v>
      </c>
      <c r="M3347" t="b">
        <v>0</v>
      </c>
      <c r="N3347" t="inlineStr">
        <is>
          <t>ref</t>
        </is>
      </c>
      <c r="O3347" t="n">
        <v>30</v>
      </c>
      <c r="P3347" t="n">
        <v>0.001221</v>
      </c>
      <c r="Q3347" t="n">
        <v>-50</v>
      </c>
      <c r="R3347" t="n">
        <v>0.04803</v>
      </c>
      <c r="S3347">
        <f>IMAGE("https://mitra.stanford.edu/kundaje/oak/projects/neuro-variants/variant_position/credible/roussos_2024/variant_figures/roussos_2024.childhood.Astrocyte/rs11241042_count_position.png",4,220,900)</f>
        <v/>
      </c>
      <c r="T3347">
        <f>IMAGE("https://mitra.stanford.edu/kundaje/oak/projects/neuro-variants/variant_position/credible/roussos_2024/variant_figures/roussos_2024.childhood.Astrocyte/rs11241042_profile_position.png",4,220,900)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0.15473912</v>
      </c>
      <c r="G3348" t="n">
        <v>0.0291108902326759</v>
      </c>
      <c r="H3348" t="n">
        <v>0.0200238742641145</v>
      </c>
      <c r="I3348" t="n">
        <v>0.1342215921030777</v>
      </c>
      <c r="J3348" t="n">
        <v>0.0306832146428216</v>
      </c>
      <c r="K3348" t="n">
        <v>0.5435005700439633</v>
      </c>
      <c r="L3348" t="b">
        <v>0</v>
      </c>
      <c r="M3348" t="b">
        <v>0</v>
      </c>
      <c r="N3348" t="inlineStr">
        <is>
          <t>alt</t>
        </is>
      </c>
      <c r="O3348" t="n">
        <v>-35</v>
      </c>
      <c r="P3348" t="n">
        <v>0.001633</v>
      </c>
      <c r="Q3348" t="n">
        <v>25</v>
      </c>
      <c r="R3348" t="n">
        <v>0.11194</v>
      </c>
      <c r="S3348">
        <f>IMAGE("https://mitra.stanford.edu/kundaje/oak/projects/neuro-variants/variant_position/credible/roussos_2024/variant_figures/roussos_2024.childhood.Astrocyte/rs12656279_count_position.png",4,220,900)</f>
        <v/>
      </c>
      <c r="T3348">
        <f>IMAGE("https://mitra.stanford.edu/kundaje/oak/projects/neuro-variants/variant_position/credible/roussos_2024/variant_figures/roussos_2024.childhood.Astrocyte/rs12656279_profile_position.png",4,220,900)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0.0074888212999999</v>
      </c>
      <c r="G3349" t="n">
        <v>0.691741300901079</v>
      </c>
      <c r="H3349" t="n">
        <v>0.0291352815504086</v>
      </c>
      <c r="I3349" t="n">
        <v>0.0337768866629708</v>
      </c>
      <c r="J3349" t="n">
        <v>0.0213887171502064</v>
      </c>
      <c r="K3349" t="n">
        <v>0.5835769577692302</v>
      </c>
      <c r="L3349" t="b">
        <v>0</v>
      </c>
      <c r="M3349" t="b">
        <v>0</v>
      </c>
      <c r="N3349" t="inlineStr">
        <is>
          <t>alt</t>
        </is>
      </c>
      <c r="O3349" t="n">
        <v>-60</v>
      </c>
      <c r="P3349" t="n">
        <v>0.01535</v>
      </c>
      <c r="Q3349" t="n">
        <v>-80</v>
      </c>
      <c r="R3349" t="n">
        <v>0.2114</v>
      </c>
      <c r="S3349">
        <f>IMAGE("https://mitra.stanford.edu/kundaje/oak/projects/neuro-variants/variant_position/credible/roussos_2024/variant_figures/roussos_2024.childhood.Astrocyte/rs6888436_count_position.png",4,220,900)</f>
        <v/>
      </c>
      <c r="T3349">
        <f>IMAGE("https://mitra.stanford.edu/kundaje/oak/projects/neuro-variants/variant_position/credible/roussos_2024/variant_figures/roussos_2024.childhood.Astrocyte/rs6888436_profile_position.png",4,220,900)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0.206408588</v>
      </c>
      <c r="G3350" t="n">
        <v>0.0171273651375573</v>
      </c>
      <c r="H3350" t="n">
        <v>0.0237451701977118</v>
      </c>
      <c r="I3350" t="n">
        <v>0.07087417809856821</v>
      </c>
      <c r="J3350" t="n">
        <v>0.2214894705105599</v>
      </c>
      <c r="K3350" t="n">
        <v>0.1838099319168343</v>
      </c>
      <c r="L3350" t="b">
        <v>1</v>
      </c>
      <c r="M3350" t="b">
        <v>0</v>
      </c>
      <c r="N3350" t="inlineStr">
        <is>
          <t>alt</t>
        </is>
      </c>
      <c r="O3350" t="n">
        <v>15</v>
      </c>
      <c r="P3350" t="n">
        <v>0.003235</v>
      </c>
      <c r="Q3350" t="n">
        <v>15</v>
      </c>
      <c r="R3350" t="n">
        <v>0.03955</v>
      </c>
      <c r="S3350">
        <f>IMAGE("https://mitra.stanford.edu/kundaje/oak/projects/neuro-variants/variant_position/credible/roussos_2024/variant_figures/roussos_2024.childhood.Astrocyte/rs1848554_count_position.png",4,220,900)</f>
        <v/>
      </c>
      <c r="T3350">
        <f>IMAGE("https://mitra.stanford.edu/kundaje/oak/projects/neuro-variants/variant_position/credible/roussos_2024/variant_figures/roussos_2024.childhood.Astrocyte/rs1848554_profile_position.png",4,220,900)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0.0102361220999999</v>
      </c>
      <c r="G3351" t="n">
        <v>0.603496576217824</v>
      </c>
      <c r="H3351" t="n">
        <v>0.024402064884299</v>
      </c>
      <c r="I3351" t="n">
        <v>0.0635025069100975</v>
      </c>
      <c r="J3351" t="n">
        <v>0.0105371222703089</v>
      </c>
      <c r="K3351" t="n">
        <v>0.6859686354396916</v>
      </c>
      <c r="L3351" t="b">
        <v>0</v>
      </c>
      <c r="M3351" t="b">
        <v>0</v>
      </c>
      <c r="N3351" t="inlineStr">
        <is>
          <t>alt</t>
        </is>
      </c>
      <c r="O3351" t="n">
        <v>20</v>
      </c>
      <c r="P3351" t="n">
        <v>0.001141</v>
      </c>
      <c r="Q3351" t="n">
        <v>-100</v>
      </c>
      <c r="R3351" t="n">
        <v>0.144</v>
      </c>
      <c r="S3351">
        <f>IMAGE("https://mitra.stanford.edu/kundaje/oak/projects/neuro-variants/variant_position/credible/roussos_2024/variant_figures/roussos_2024.childhood.Astrocyte/rs32643_count_position.png",4,220,900)</f>
        <v/>
      </c>
      <c r="T3351">
        <f>IMAGE("https://mitra.stanford.edu/kundaje/oak/projects/neuro-variants/variant_position/credible/roussos_2024/variant_figures/roussos_2024.childhood.Astrocyte/rs32643_profile_position.png",4,220,900)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-0.01639312586</v>
      </c>
      <c r="G3352" t="n">
        <v>0.4526888025055712</v>
      </c>
      <c r="H3352" t="n">
        <v>0.0122254810117763</v>
      </c>
      <c r="I3352" t="n">
        <v>0.4979482234280541</v>
      </c>
      <c r="J3352" t="n">
        <v>0.0684046621327654</v>
      </c>
      <c r="K3352" t="n">
        <v>0.3886896907128195</v>
      </c>
      <c r="L3352" t="b">
        <v>0</v>
      </c>
      <c r="M3352" t="b">
        <v>0</v>
      </c>
      <c r="N3352" t="inlineStr">
        <is>
          <t>ref</t>
        </is>
      </c>
      <c r="O3352" t="n">
        <v>-100</v>
      </c>
      <c r="P3352" t="n">
        <v>0.002644</v>
      </c>
      <c r="Q3352" t="n">
        <v>-100</v>
      </c>
      <c r="R3352" t="n">
        <v>0.1278</v>
      </c>
      <c r="S3352">
        <f>IMAGE("https://mitra.stanford.edu/kundaje/oak/projects/neuro-variants/variant_position/credible/roussos_2024/variant_figures/roussos_2024.childhood.Astrocyte/rs11956061_count_position.png",4,220,900)</f>
        <v/>
      </c>
      <c r="T3352">
        <f>IMAGE("https://mitra.stanford.edu/kundaje/oak/projects/neuro-variants/variant_position/credible/roussos_2024/variant_figures/roussos_2024.childhood.Astrocyte/rs11956061_profile_position.png",4,220,900)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-0.008915103779999999</v>
      </c>
      <c r="G3353" t="n">
        <v>0.75091999954397</v>
      </c>
      <c r="H3353" t="n">
        <v>0.008341762833680001</v>
      </c>
      <c r="I3353" t="n">
        <v>0.8403440624831592</v>
      </c>
      <c r="J3353" t="n">
        <v>0.2729446696129391</v>
      </c>
      <c r="K3353" t="n">
        <v>0.149639251604656</v>
      </c>
      <c r="L3353" t="b">
        <v>0</v>
      </c>
      <c r="M3353" t="b">
        <v>0</v>
      </c>
      <c r="N3353" t="inlineStr">
        <is>
          <t>ref</t>
        </is>
      </c>
      <c r="O3353" t="n">
        <v>-95</v>
      </c>
      <c r="P3353" t="n">
        <v>0.009350000000000001</v>
      </c>
      <c r="Q3353" t="n">
        <v>-65</v>
      </c>
      <c r="R3353" t="n">
        <v>0.1154</v>
      </c>
      <c r="S3353">
        <f>IMAGE("https://mitra.stanford.edu/kundaje/oak/projects/neuro-variants/variant_position/credible/roussos_2024/variant_figures/roussos_2024.childhood.Astrocyte/rs4836307_count_position.png",4,220,900)</f>
        <v/>
      </c>
      <c r="T3353">
        <f>IMAGE("https://mitra.stanford.edu/kundaje/oak/projects/neuro-variants/variant_position/credible/roussos_2024/variant_figures/roussos_2024.childhood.Astrocyte/rs4836307_profile_position.png",4,220,900)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0.01053328444</v>
      </c>
      <c r="G3354" t="n">
        <v>0.6932433382273386</v>
      </c>
      <c r="H3354" t="n">
        <v>0.0167069113498256</v>
      </c>
      <c r="I3354" t="n">
        <v>0.2211825304623512</v>
      </c>
      <c r="J3354" t="n">
        <v>0.0195644707013807</v>
      </c>
      <c r="K3354" t="n">
        <v>0.5994548832398313</v>
      </c>
      <c r="L3354" t="b">
        <v>0</v>
      </c>
      <c r="M3354" t="b">
        <v>0</v>
      </c>
      <c r="N3354" t="inlineStr">
        <is>
          <t>alt</t>
        </is>
      </c>
      <c r="O3354" t="n">
        <v>25</v>
      </c>
      <c r="P3354" t="n">
        <v>0.008704999999999999</v>
      </c>
      <c r="Q3354" t="n">
        <v>-40</v>
      </c>
      <c r="R3354" t="n">
        <v>0.127</v>
      </c>
      <c r="S3354">
        <f>IMAGE("https://mitra.stanford.edu/kundaje/oak/projects/neuro-variants/variant_position/credible/roussos_2024/variant_figures/roussos_2024.childhood.Astrocyte/rs12657369_count_position.png",4,220,900)</f>
        <v/>
      </c>
      <c r="T3354">
        <f>IMAGE("https://mitra.stanford.edu/kundaje/oak/projects/neuro-variants/variant_position/credible/roussos_2024/variant_figures/roussos_2024.childhood.Astrocyte/rs12657369_profile_position.png",4,220,900)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0.0530427742</v>
      </c>
      <c r="G3355" t="n">
        <v>0.2274087295213875</v>
      </c>
      <c r="H3355" t="n">
        <v>0.0158003770133409</v>
      </c>
      <c r="I3355" t="n">
        <v>0.2516902858693119</v>
      </c>
      <c r="J3355" t="n">
        <v>0.0212154519017196</v>
      </c>
      <c r="K3355" t="n">
        <v>0.5816522960311835</v>
      </c>
      <c r="L3355" t="b">
        <v>0</v>
      </c>
      <c r="M3355" t="b">
        <v>0</v>
      </c>
      <c r="N3355" t="inlineStr">
        <is>
          <t>alt</t>
        </is>
      </c>
      <c r="O3355" t="n">
        <v>80</v>
      </c>
      <c r="P3355" t="n">
        <v>0.00127</v>
      </c>
      <c r="Q3355" t="n">
        <v>0</v>
      </c>
      <c r="R3355" t="n">
        <v>0</v>
      </c>
      <c r="S3355">
        <f>IMAGE("https://mitra.stanford.edu/kundaje/oak/projects/neuro-variants/variant_position/credible/roussos_2024/variant_figures/roussos_2024.childhood.Astrocyte/rs10057084_count_position.png",4,220,900)</f>
        <v/>
      </c>
      <c r="T3355">
        <f>IMAGE("https://mitra.stanford.edu/kundaje/oak/projects/neuro-variants/variant_position/credible/roussos_2024/variant_figures/roussos_2024.childhood.Astrocyte/rs10057084_profile_position.png",4,220,900)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-0.23583186</v>
      </c>
      <c r="G3356" t="n">
        <v>0.0111910578329204</v>
      </c>
      <c r="H3356" t="n">
        <v>0.0330903653535533</v>
      </c>
      <c r="I3356" t="n">
        <v>0.0217143376344634</v>
      </c>
      <c r="J3356" t="n">
        <v>0.3224512071321166</v>
      </c>
      <c r="K3356" t="n">
        <v>0.1208044060459324</v>
      </c>
      <c r="L3356" t="b">
        <v>1</v>
      </c>
      <c r="M3356" t="b">
        <v>0</v>
      </c>
      <c r="N3356" t="inlineStr">
        <is>
          <t>ref</t>
        </is>
      </c>
      <c r="O3356" t="n">
        <v>-35</v>
      </c>
      <c r="P3356" t="n">
        <v>0.002148</v>
      </c>
      <c r="Q3356" t="n">
        <v>85</v>
      </c>
      <c r="R3356" t="n">
        <v>0.1587</v>
      </c>
      <c r="S3356">
        <f>IMAGE("https://mitra.stanford.edu/kundaje/oak/projects/neuro-variants/variant_position/credible/roussos_2024/variant_figures/roussos_2024.childhood.Astrocyte/rs9327428_count_position.png",4,220,900)</f>
        <v/>
      </c>
      <c r="T3356">
        <f>IMAGE("https://mitra.stanford.edu/kundaje/oak/projects/neuro-variants/variant_position/credible/roussos_2024/variant_figures/roussos_2024.childhood.Astrocyte/rs9327428_profile_position.png",4,220,900)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-0.0472415406</v>
      </c>
      <c r="G3357" t="n">
        <v>0.2472397024367971</v>
      </c>
      <c r="H3357" t="n">
        <v>0.0431339275896185</v>
      </c>
      <c r="I3357" t="n">
        <v>0.0072213903609431</v>
      </c>
      <c r="J3357" t="n">
        <v>0.0232633402792088</v>
      </c>
      <c r="K3357" t="n">
        <v>0.5719721649285295</v>
      </c>
      <c r="L3357" t="b">
        <v>1</v>
      </c>
      <c r="M3357" t="b">
        <v>0</v>
      </c>
      <c r="N3357" t="inlineStr">
        <is>
          <t>ref</t>
        </is>
      </c>
      <c r="O3357" t="n">
        <v>-100</v>
      </c>
      <c r="P3357" t="n">
        <v>0.002258</v>
      </c>
      <c r="Q3357" t="n">
        <v>65</v>
      </c>
      <c r="R3357" t="n">
        <v>0.135</v>
      </c>
      <c r="S3357">
        <f>IMAGE("https://mitra.stanford.edu/kundaje/oak/projects/neuro-variants/variant_position/credible/roussos_2024/variant_figures/roussos_2024.childhood.Astrocyte/rs2108458_count_position.png",4,220,900)</f>
        <v/>
      </c>
      <c r="T3357">
        <f>IMAGE("https://mitra.stanford.edu/kundaje/oak/projects/neuro-variants/variant_position/credible/roussos_2024/variant_figures/roussos_2024.childhood.Astrocyte/rs2108458_profile_position.png",4,220,900)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-0.112607588</v>
      </c>
      <c r="G3358" t="n">
        <v>0.0635782314045592</v>
      </c>
      <c r="H3358" t="n">
        <v>0.0158923286206737</v>
      </c>
      <c r="I3358" t="n">
        <v>0.255322189241165</v>
      </c>
      <c r="J3358" t="n">
        <v>0.0526840847854792</v>
      </c>
      <c r="K3358" t="n">
        <v>0.4340722394666996</v>
      </c>
      <c r="L3358" t="b">
        <v>0</v>
      </c>
      <c r="M3358" t="b">
        <v>0</v>
      </c>
      <c r="N3358" t="inlineStr">
        <is>
          <t>ref</t>
        </is>
      </c>
      <c r="O3358" t="n">
        <v>-15</v>
      </c>
      <c r="P3358" t="n">
        <v>0.002167</v>
      </c>
      <c r="Q3358" t="n">
        <v>-95</v>
      </c>
      <c r="R3358" t="n">
        <v>0.0698</v>
      </c>
      <c r="S3358">
        <f>IMAGE("https://mitra.stanford.edu/kundaje/oak/projects/neuro-variants/variant_position/credible/roussos_2024/variant_figures/roussos_2024.childhood.Astrocyte/rs7706333_count_position.png",4,220,900)</f>
        <v/>
      </c>
      <c r="T3358">
        <f>IMAGE("https://mitra.stanford.edu/kundaje/oak/projects/neuro-variants/variant_position/credible/roussos_2024/variant_figures/roussos_2024.childhood.Astrocyte/rs7706333_profile_position.png",4,220,900)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-0.040678578</v>
      </c>
      <c r="G3359" t="n">
        <v>0.2862203607319144</v>
      </c>
      <c r="H3359" t="n">
        <v>0.0113215894814048</v>
      </c>
      <c r="I3359" t="n">
        <v>0.582064190189282</v>
      </c>
      <c r="J3359" t="n">
        <v>0.0867104791127597</v>
      </c>
      <c r="K3359" t="n">
        <v>0.3491167838599693</v>
      </c>
      <c r="L3359" t="b">
        <v>0</v>
      </c>
      <c r="M3359" t="b">
        <v>0</v>
      </c>
      <c r="N3359" t="inlineStr">
        <is>
          <t>ref</t>
        </is>
      </c>
      <c r="O3359" t="n">
        <v>60</v>
      </c>
      <c r="P3359" t="n">
        <v>0.002762</v>
      </c>
      <c r="Q3359" t="n">
        <v>45</v>
      </c>
      <c r="R3359" t="n">
        <v>0.07556</v>
      </c>
      <c r="S3359">
        <f>IMAGE("https://mitra.stanford.edu/kundaje/oak/projects/neuro-variants/variant_position/credible/roussos_2024/variant_figures/roussos_2024.childhood.Astrocyte/rs1013662_count_position.png",4,220,900)</f>
        <v/>
      </c>
      <c r="T3359">
        <f>IMAGE("https://mitra.stanford.edu/kundaje/oak/projects/neuro-variants/variant_position/credible/roussos_2024/variant_figures/roussos_2024.childhood.Astrocyte/rs1013662_profile_position.png",4,220,900)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0.1103016402</v>
      </c>
      <c r="G3360" t="n">
        <v>0.059214217527487</v>
      </c>
      <c r="H3360" t="n">
        <v>0.0188373955224113</v>
      </c>
      <c r="I3360" t="n">
        <v>0.1566358305298381</v>
      </c>
      <c r="J3360" t="n">
        <v>0.0112248402830253</v>
      </c>
      <c r="K3360" t="n">
        <v>0.6818671152436232</v>
      </c>
      <c r="L3360" t="b">
        <v>0</v>
      </c>
      <c r="M3360" t="b">
        <v>0</v>
      </c>
      <c r="N3360" t="inlineStr">
        <is>
          <t>alt</t>
        </is>
      </c>
      <c r="O3360" t="n">
        <v>20</v>
      </c>
      <c r="P3360" t="n">
        <v>0.00597</v>
      </c>
      <c r="Q3360" t="n">
        <v>85</v>
      </c>
      <c r="R3360" t="n">
        <v>0.10675</v>
      </c>
      <c r="S3360">
        <f>IMAGE("https://mitra.stanford.edu/kundaje/oak/projects/neuro-variants/variant_position/credible/roussos_2024/variant_figures/roussos_2024.childhood.Astrocyte/rs6899133_count_position.png",4,220,900)</f>
        <v/>
      </c>
      <c r="T3360">
        <f>IMAGE("https://mitra.stanford.edu/kundaje/oak/projects/neuro-variants/variant_position/credible/roussos_2024/variant_figures/roussos_2024.childhood.Astrocyte/rs6899133_profile_position.png",4,220,900)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-0.128582989</v>
      </c>
      <c r="G3361" t="n">
        <v>0.036353611575825</v>
      </c>
      <c r="H3361" t="n">
        <v>0.0288717388607539</v>
      </c>
      <c r="I3361" t="n">
        <v>0.0413294507663471</v>
      </c>
      <c r="J3361" t="n">
        <v>0.7746597665880485</v>
      </c>
      <c r="K3361" t="n">
        <v>0.0104036106783163</v>
      </c>
      <c r="L3361" t="b">
        <v>0</v>
      </c>
      <c r="M3361" t="b">
        <v>0</v>
      </c>
      <c r="N3361" t="inlineStr">
        <is>
          <t>ref</t>
        </is>
      </c>
      <c r="O3361" t="n">
        <v>-50</v>
      </c>
      <c r="P3361" t="n">
        <v>0.00906</v>
      </c>
      <c r="Q3361" t="n">
        <v>-55</v>
      </c>
      <c r="R3361" t="n">
        <v>0.1172</v>
      </c>
      <c r="S3361">
        <f>IMAGE("https://mitra.stanford.edu/kundaje/oak/projects/neuro-variants/variant_position/credible/roussos_2024/variant_figures/roussos_2024.childhood.Astrocyte/rs13154281_count_position.png",4,220,900)</f>
        <v/>
      </c>
      <c r="T3361">
        <f>IMAGE("https://mitra.stanford.edu/kundaje/oak/projects/neuro-variants/variant_position/credible/roussos_2024/variant_figures/roussos_2024.childhood.Astrocyte/rs13154281_profile_position.png",4,220,900)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-0.160578528</v>
      </c>
      <c r="G3362" t="n">
        <v>0.0303390891027538</v>
      </c>
      <c r="H3362" t="n">
        <v>0.0294044220509018</v>
      </c>
      <c r="I3362" t="n">
        <v>0.0335650404192168</v>
      </c>
      <c r="J3362" t="n">
        <v>0.1159411661438177</v>
      </c>
      <c r="K3362" t="n">
        <v>0.3137183571907488</v>
      </c>
      <c r="L3362" t="b">
        <v>0</v>
      </c>
      <c r="M3362" t="b">
        <v>0</v>
      </c>
      <c r="N3362" t="inlineStr">
        <is>
          <t>ref</t>
        </is>
      </c>
      <c r="O3362" t="n">
        <v>75</v>
      </c>
      <c r="P3362" t="n">
        <v>0.01364</v>
      </c>
      <c r="Q3362" t="n">
        <v>5</v>
      </c>
      <c r="R3362" t="n">
        <v>0.002441</v>
      </c>
      <c r="S3362">
        <f>IMAGE("https://mitra.stanford.edu/kundaje/oak/projects/neuro-variants/variant_position/credible/roussos_2024/variant_figures/roussos_2024.childhood.Astrocyte/rs2191209_count_position.png",4,220,900)</f>
        <v/>
      </c>
      <c r="T3362">
        <f>IMAGE("https://mitra.stanford.edu/kundaje/oak/projects/neuro-variants/variant_position/credible/roussos_2024/variant_figures/roussos_2024.childhood.Astrocyte/rs2191209_profile_position.png",4,220,900)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-0.0310202214</v>
      </c>
      <c r="G3363" t="n">
        <v>0.197729582806327</v>
      </c>
      <c r="H3363" t="n">
        <v>0.0117299048502112</v>
      </c>
      <c r="I3363" t="n">
        <v>0.5178590172594998</v>
      </c>
      <c r="J3363" t="n">
        <v>0.0038751879584468</v>
      </c>
      <c r="K3363" t="n">
        <v>0.8040009815548214</v>
      </c>
      <c r="L3363" t="b">
        <v>0</v>
      </c>
      <c r="M3363" t="b">
        <v>0</v>
      </c>
      <c r="N3363" t="inlineStr">
        <is>
          <t>ref</t>
        </is>
      </c>
      <c r="O3363" t="n">
        <v>-100</v>
      </c>
      <c r="P3363" t="n">
        <v>0.002247</v>
      </c>
      <c r="Q3363" t="n">
        <v>-25</v>
      </c>
      <c r="R3363" t="n">
        <v>0.03613</v>
      </c>
      <c r="S3363">
        <f>IMAGE("https://mitra.stanford.edu/kundaje/oak/projects/neuro-variants/variant_position/credible/roussos_2024/variant_figures/roussos_2024.childhood.Astrocyte/rs7731621_count_position.png",4,220,900)</f>
        <v/>
      </c>
      <c r="T3363">
        <f>IMAGE("https://mitra.stanford.edu/kundaje/oak/projects/neuro-variants/variant_position/credible/roussos_2024/variant_figures/roussos_2024.childhood.Astrocyte/rs7731621_profile_position.png",4,220,900)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-0.0321791777</v>
      </c>
      <c r="G3364" t="n">
        <v>0.392847631620362</v>
      </c>
      <c r="H3364" t="n">
        <v>0.0105799111097837</v>
      </c>
      <c r="I3364" t="n">
        <v>0.6536489845316334</v>
      </c>
      <c r="J3364" t="n">
        <v>0.0715440452474181</v>
      </c>
      <c r="K3364" t="n">
        <v>0.3915942839793618</v>
      </c>
      <c r="L3364" t="b">
        <v>0</v>
      </c>
      <c r="M3364" t="b">
        <v>0</v>
      </c>
      <c r="N3364" t="inlineStr">
        <is>
          <t>ref</t>
        </is>
      </c>
      <c r="O3364" t="n">
        <v>90</v>
      </c>
      <c r="P3364" t="n">
        <v>0.001579</v>
      </c>
      <c r="Q3364" t="n">
        <v>100</v>
      </c>
      <c r="R3364" t="n">
        <v>0.1506</v>
      </c>
      <c r="S3364">
        <f>IMAGE("https://mitra.stanford.edu/kundaje/oak/projects/neuro-variants/variant_position/credible/roussos_2024/variant_figures/roussos_2024.childhood.Astrocyte/rs13190493_count_position.png",4,220,900)</f>
        <v/>
      </c>
      <c r="T3364">
        <f>IMAGE("https://mitra.stanford.edu/kundaje/oak/projects/neuro-variants/variant_position/credible/roussos_2024/variant_figures/roussos_2024.childhood.Astrocyte/rs13190493_profile_position.png",4,220,900)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-0.1507350806</v>
      </c>
      <c r="G3365" t="n">
        <v>0.0444596115112432</v>
      </c>
      <c r="H3365" t="n">
        <v>0.0165194577207305</v>
      </c>
      <c r="I3365" t="n">
        <v>0.2424267899493981</v>
      </c>
      <c r="J3365" t="n">
        <v>0.1256142520207918</v>
      </c>
      <c r="K3365" t="n">
        <v>0.2806429946545851</v>
      </c>
      <c r="L3365" t="b">
        <v>0</v>
      </c>
      <c r="M3365" t="b">
        <v>0</v>
      </c>
      <c r="N3365" t="inlineStr">
        <is>
          <t>ref</t>
        </is>
      </c>
      <c r="O3365" t="n">
        <v>100</v>
      </c>
      <c r="P3365" t="n">
        <v>0.002468</v>
      </c>
      <c r="Q3365" t="n">
        <v>100</v>
      </c>
      <c r="R3365" t="n">
        <v>0.11523</v>
      </c>
      <c r="S3365">
        <f>IMAGE("https://mitra.stanford.edu/kundaje/oak/projects/neuro-variants/variant_position/credible/roussos_2024/variant_figures/roussos_2024.childhood.Astrocyte/rs248081_count_position.png",4,220,900)</f>
        <v/>
      </c>
      <c r="T3365">
        <f>IMAGE("https://mitra.stanford.edu/kundaje/oak/projects/neuro-variants/variant_position/credible/roussos_2024/variant_figures/roussos_2024.childhood.Astrocyte/rs248081_profile_position.png",4,220,900)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0.0710749748</v>
      </c>
      <c r="G3366" t="n">
        <v>0.122473076629121</v>
      </c>
      <c r="H3366" t="n">
        <v>0.0155163795358004</v>
      </c>
      <c r="I3366" t="n">
        <v>0.2705119715600798</v>
      </c>
      <c r="J3366" t="n">
        <v>0.0003282117041819</v>
      </c>
      <c r="K3366" t="n">
        <v>0.965039634798756</v>
      </c>
      <c r="L3366" t="b">
        <v>0</v>
      </c>
      <c r="M3366" t="b">
        <v>0</v>
      </c>
      <c r="N3366" t="inlineStr">
        <is>
          <t>alt</t>
        </is>
      </c>
      <c r="O3366" t="n">
        <v>35</v>
      </c>
      <c r="P3366" t="n">
        <v>0.002586</v>
      </c>
      <c r="Q3366" t="n">
        <v>-25</v>
      </c>
      <c r="R3366" t="n">
        <v>0.0873</v>
      </c>
      <c r="S3366">
        <f>IMAGE("https://mitra.stanford.edu/kundaje/oak/projects/neuro-variants/variant_position/credible/roussos_2024/variant_figures/roussos_2024.childhood.Astrocyte/rs248090_count_position.png",4,220,900)</f>
        <v/>
      </c>
      <c r="T3366">
        <f>IMAGE("https://mitra.stanford.edu/kundaje/oak/projects/neuro-variants/variant_position/credible/roussos_2024/variant_figures/roussos_2024.childhood.Astrocyte/rs248090_profile_position.png",4,220,900)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0.1483588192</v>
      </c>
      <c r="G3367" t="n">
        <v>0.033983878892804</v>
      </c>
      <c r="H3367" t="n">
        <v>0.0190168743200064</v>
      </c>
      <c r="I3367" t="n">
        <v>0.1545234883743313</v>
      </c>
      <c r="J3367" t="n">
        <v>0.0010708860952729</v>
      </c>
      <c r="K3367" t="n">
        <v>0.932660622568918</v>
      </c>
      <c r="L3367" t="b">
        <v>0</v>
      </c>
      <c r="M3367" t="b">
        <v>0</v>
      </c>
      <c r="N3367" t="inlineStr">
        <is>
          <t>alt</t>
        </is>
      </c>
      <c r="O3367" t="n">
        <v>35</v>
      </c>
      <c r="P3367" t="n">
        <v>0.001999</v>
      </c>
      <c r="Q3367" t="n">
        <v>95</v>
      </c>
      <c r="R3367" t="n">
        <v>0.361</v>
      </c>
      <c r="S3367">
        <f>IMAGE("https://mitra.stanford.edu/kundaje/oak/projects/neuro-variants/variant_position/credible/roussos_2024/variant_figures/roussos_2024.childhood.Astrocyte/rs248104_count_position.png",4,220,900)</f>
        <v/>
      </c>
      <c r="T3367">
        <f>IMAGE("https://mitra.stanford.edu/kundaje/oak/projects/neuro-variants/variant_position/credible/roussos_2024/variant_figures/roussos_2024.childhood.Astrocyte/rs248104_profile_position.png",4,220,900)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-0.064459266</v>
      </c>
      <c r="G3368" t="n">
        <v>0.1623036161737812</v>
      </c>
      <c r="H3368" t="n">
        <v>0.0108419966507299</v>
      </c>
      <c r="I3368" t="n">
        <v>0.6241895994314334</v>
      </c>
      <c r="J3368" t="n">
        <v>0.1592078648683717</v>
      </c>
      <c r="K3368" t="n">
        <v>0.2486522543335338</v>
      </c>
      <c r="L3368" t="b">
        <v>0</v>
      </c>
      <c r="M3368" t="b">
        <v>0</v>
      </c>
      <c r="N3368" t="inlineStr">
        <is>
          <t>ref</t>
        </is>
      </c>
      <c r="O3368" t="n">
        <v>90</v>
      </c>
      <c r="P3368" t="n">
        <v>0.02292</v>
      </c>
      <c r="Q3368" t="n">
        <v>-15</v>
      </c>
      <c r="R3368" t="n">
        <v>0.09279999999999999</v>
      </c>
      <c r="S3368">
        <f>IMAGE("https://mitra.stanford.edu/kundaje/oak/projects/neuro-variants/variant_position/credible/roussos_2024/variant_figures/roussos_2024.childhood.Astrocyte/rs248115_count_position.png",4,220,900)</f>
        <v/>
      </c>
      <c r="T3368">
        <f>IMAGE("https://mitra.stanford.edu/kundaje/oak/projects/neuro-variants/variant_position/credible/roussos_2024/variant_figures/roussos_2024.childhood.Astrocyte/rs248115_profile_position.png",4,220,900)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0.01262345916</v>
      </c>
      <c r="G3369" t="n">
        <v>0.5636666343517348</v>
      </c>
      <c r="H3369" t="n">
        <v>0.0392232004480798</v>
      </c>
      <c r="I3369" t="n">
        <v>0.0103020473112348</v>
      </c>
      <c r="J3369" t="n">
        <v>0.0588308030500789</v>
      </c>
      <c r="K3369" t="n">
        <v>0.4310036719942141</v>
      </c>
      <c r="L3369" t="b">
        <v>1</v>
      </c>
      <c r="M3369" t="b">
        <v>0</v>
      </c>
      <c r="N3369" t="inlineStr">
        <is>
          <t>alt</t>
        </is>
      </c>
      <c r="O3369" t="n">
        <v>-100</v>
      </c>
      <c r="P3369" t="n">
        <v>0.03568</v>
      </c>
      <c r="Q3369" t="n">
        <v>75</v>
      </c>
      <c r="R3369" t="n">
        <v>0.3193</v>
      </c>
      <c r="S3369">
        <f>IMAGE("https://mitra.stanford.edu/kundaje/oak/projects/neuro-variants/variant_position/credible/roussos_2024/variant_figures/roussos_2024.childhood.Astrocyte/rs248116_count_position.png",4,220,900)</f>
        <v/>
      </c>
      <c r="T3369">
        <f>IMAGE("https://mitra.stanford.edu/kundaje/oak/projects/neuro-variants/variant_position/credible/roussos_2024/variant_figures/roussos_2024.childhood.Astrocyte/rs248116_profile_position.png",4,220,900)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0.0127168719999999</v>
      </c>
      <c r="G3370" t="n">
        <v>0.5341522569072881</v>
      </c>
      <c r="H3370" t="n">
        <v>0.0092538966610151</v>
      </c>
      <c r="I3370" t="n">
        <v>0.7828305044644621</v>
      </c>
      <c r="J3370" t="n">
        <v>0.0453626739331211</v>
      </c>
      <c r="K3370" t="n">
        <v>0.478565858344758</v>
      </c>
      <c r="L3370" t="b">
        <v>0</v>
      </c>
      <c r="M3370" t="b">
        <v>0</v>
      </c>
      <c r="N3370" t="inlineStr">
        <is>
          <t>alt</t>
        </is>
      </c>
      <c r="O3370" t="n">
        <v>85</v>
      </c>
      <c r="P3370" t="n">
        <v>0.003326</v>
      </c>
      <c r="Q3370" t="n">
        <v>-40</v>
      </c>
      <c r="R3370" t="n">
        <v>0.07056</v>
      </c>
      <c r="S3370">
        <f>IMAGE("https://mitra.stanford.edu/kundaje/oak/projects/neuro-variants/variant_position/credible/roussos_2024/variant_figures/roussos_2024.childhood.Astrocyte/rs248117_count_position.png",4,220,900)</f>
        <v/>
      </c>
      <c r="T3370">
        <f>IMAGE("https://mitra.stanford.edu/kundaje/oak/projects/neuro-variants/variant_position/credible/roussos_2024/variant_figures/roussos_2024.childhood.Astrocyte/rs248117_profile_position.png",4,220,900)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0.00457510266</v>
      </c>
      <c r="G3371" t="n">
        <v>0.8322425024190833</v>
      </c>
      <c r="H3371" t="n">
        <v>0.0088531089672792</v>
      </c>
      <c r="I3371" t="n">
        <v>0.8275406897373981</v>
      </c>
      <c r="J3371" t="n">
        <v>0.0240044881042338</v>
      </c>
      <c r="K3371" t="n">
        <v>0.5734636451157277</v>
      </c>
      <c r="L3371" t="b">
        <v>0</v>
      </c>
      <c r="M3371" t="b">
        <v>0</v>
      </c>
      <c r="N3371" t="inlineStr">
        <is>
          <t>alt</t>
        </is>
      </c>
      <c r="O3371" t="n">
        <v>70</v>
      </c>
      <c r="P3371" t="n">
        <v>0.005913</v>
      </c>
      <c r="Q3371" t="n">
        <v>45</v>
      </c>
      <c r="R3371" t="n">
        <v>0.1522</v>
      </c>
      <c r="S3371">
        <f>IMAGE("https://mitra.stanford.edu/kundaje/oak/projects/neuro-variants/variant_position/credible/roussos_2024/variant_figures/roussos_2024.childhood.Astrocyte/rs1860439_count_position.png",4,220,900)</f>
        <v/>
      </c>
      <c r="T3371">
        <f>IMAGE("https://mitra.stanford.edu/kundaje/oak/projects/neuro-variants/variant_position/credible/roussos_2024/variant_figures/roussos_2024.childhood.Astrocyte/rs1860439_profile_position.png",4,220,900)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0.157254278</v>
      </c>
      <c r="G3372" t="n">
        <v>0.0294238277777434</v>
      </c>
      <c r="H3372" t="n">
        <v>0.017488292771708</v>
      </c>
      <c r="I3372" t="n">
        <v>0.1932451034663388</v>
      </c>
      <c r="J3372" t="n">
        <v>0.1010464610382175</v>
      </c>
      <c r="K3372" t="n">
        <v>0.3281881509185258</v>
      </c>
      <c r="L3372" t="b">
        <v>0</v>
      </c>
      <c r="M3372" t="b">
        <v>0</v>
      </c>
      <c r="N3372" t="inlineStr">
        <is>
          <t>alt</t>
        </is>
      </c>
      <c r="O3372" t="n">
        <v>-70</v>
      </c>
      <c r="P3372" t="n">
        <v>0.00772</v>
      </c>
      <c r="Q3372" t="n">
        <v>-95</v>
      </c>
      <c r="R3372" t="n">
        <v>0.177</v>
      </c>
      <c r="S3372">
        <f>IMAGE("https://mitra.stanford.edu/kundaje/oak/projects/neuro-variants/variant_position/credible/roussos_2024/variant_figures/roussos_2024.childhood.Astrocyte/rs173555_count_position.png",4,220,900)</f>
        <v/>
      </c>
      <c r="T3372">
        <f>IMAGE("https://mitra.stanford.edu/kundaje/oak/projects/neuro-variants/variant_position/credible/roussos_2024/variant_figures/roussos_2024.childhood.Astrocyte/rs173555_profile_position.png",4,220,900)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0.1710593</v>
      </c>
      <c r="G3373" t="n">
        <v>0.0227255842174393</v>
      </c>
      <c r="H3373" t="n">
        <v>0.0322839101656288</v>
      </c>
      <c r="I3373" t="n">
        <v>0.0226733724721784</v>
      </c>
      <c r="J3373" t="n">
        <v>0.0106165037057391</v>
      </c>
      <c r="K3373" t="n">
        <v>0.678114906879993</v>
      </c>
      <c r="L3373" t="b">
        <v>0</v>
      </c>
      <c r="M3373" t="b">
        <v>0</v>
      </c>
      <c r="N3373" t="inlineStr">
        <is>
          <t>alt</t>
        </is>
      </c>
      <c r="O3373" t="n">
        <v>-70</v>
      </c>
      <c r="P3373" t="n">
        <v>0.02243</v>
      </c>
      <c r="Q3373" t="n">
        <v>-65</v>
      </c>
      <c r="R3373" t="n">
        <v>0.06073</v>
      </c>
      <c r="S3373">
        <f>IMAGE("https://mitra.stanford.edu/kundaje/oak/projects/neuro-variants/variant_position/credible/roussos_2024/variant_figures/roussos_2024.childhood.Astrocyte/rs248127_count_position.png",4,220,900)</f>
        <v/>
      </c>
      <c r="T3373">
        <f>IMAGE("https://mitra.stanford.edu/kundaje/oak/projects/neuro-variants/variant_position/credible/roussos_2024/variant_figures/roussos_2024.childhood.Astrocyte/rs248127_profile_position.png",4,220,900)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0.00769731728</v>
      </c>
      <c r="G3374" t="n">
        <v>0.6127497839318581</v>
      </c>
      <c r="H3374" t="n">
        <v>0.0155569276265702</v>
      </c>
      <c r="I3374" t="n">
        <v>0.2679285771186255</v>
      </c>
      <c r="J3374" t="n">
        <v>0.0050445375649744</v>
      </c>
      <c r="K3374" t="n">
        <v>0.7713155083774841</v>
      </c>
      <c r="L3374" t="b">
        <v>0</v>
      </c>
      <c r="M3374" t="b">
        <v>0</v>
      </c>
      <c r="N3374" t="inlineStr">
        <is>
          <t>alt</t>
        </is>
      </c>
      <c r="O3374" t="n">
        <v>100</v>
      </c>
      <c r="P3374" t="n">
        <v>0.05066</v>
      </c>
      <c r="Q3374" t="n">
        <v>100</v>
      </c>
      <c r="R3374" t="n">
        <v>0.1741</v>
      </c>
      <c r="S3374">
        <f>IMAGE("https://mitra.stanford.edu/kundaje/oak/projects/neuro-variants/variant_position/credible/roussos_2024/variant_figures/roussos_2024.childhood.Astrocyte/rs188731_count_position.png",4,220,900)</f>
        <v/>
      </c>
      <c r="T3374">
        <f>IMAGE("https://mitra.stanford.edu/kundaje/oak/projects/neuro-variants/variant_position/credible/roussos_2024/variant_figures/roussos_2024.childhood.Astrocyte/rs188731_profile_position.png",4,220,900)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0.0214888343999999</v>
      </c>
      <c r="G3375" t="n">
        <v>0.4807759870957959</v>
      </c>
      <c r="H3375" t="n">
        <v>0.0141630897423604</v>
      </c>
      <c r="I3375" t="n">
        <v>0.344493946173805</v>
      </c>
      <c r="J3375" t="n">
        <v>0.036431499164205</v>
      </c>
      <c r="K3375" t="n">
        <v>0.5005706441078362</v>
      </c>
      <c r="L3375" t="b">
        <v>0</v>
      </c>
      <c r="M3375" t="b">
        <v>0</v>
      </c>
      <c r="N3375" t="inlineStr">
        <is>
          <t>alt</t>
        </is>
      </c>
      <c r="O3375" t="n">
        <v>35</v>
      </c>
      <c r="P3375" t="n">
        <v>0.0092</v>
      </c>
      <c r="Q3375" t="n">
        <v>40</v>
      </c>
      <c r="R3375" t="n">
        <v>0.1562</v>
      </c>
      <c r="S3375">
        <f>IMAGE("https://mitra.stanford.edu/kundaje/oak/projects/neuro-variants/variant_position/credible/roussos_2024/variant_figures/roussos_2024.childhood.Astrocyte/rs187653_count_position.png",4,220,900)</f>
        <v/>
      </c>
      <c r="T3375">
        <f>IMAGE("https://mitra.stanford.edu/kundaje/oak/projects/neuro-variants/variant_position/credible/roussos_2024/variant_figures/roussos_2024.childhood.Astrocyte/rs187653_profile_position.png",4,220,900)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0.1162076359999999</v>
      </c>
      <c r="G3376" t="n">
        <v>0.0555395304324704</v>
      </c>
      <c r="H3376" t="n">
        <v>0.0165447026451389</v>
      </c>
      <c r="I3376" t="n">
        <v>0.2387606945795894</v>
      </c>
      <c r="J3376" t="n">
        <v>0.2389488066069779</v>
      </c>
      <c r="K3376" t="n">
        <v>0.1760259092199966</v>
      </c>
      <c r="L3376" t="b">
        <v>0</v>
      </c>
      <c r="M3376" t="b">
        <v>0</v>
      </c>
      <c r="N3376" t="inlineStr">
        <is>
          <t>alt</t>
        </is>
      </c>
      <c r="O3376" t="n">
        <v>-75</v>
      </c>
      <c r="P3376" t="n">
        <v>0.02097</v>
      </c>
      <c r="Q3376" t="n">
        <v>20</v>
      </c>
      <c r="R3376" t="n">
        <v>0.01758</v>
      </c>
      <c r="S3376">
        <f>IMAGE("https://mitra.stanford.edu/kundaje/oak/projects/neuro-variants/variant_position/credible/roussos_2024/variant_figures/roussos_2024.childhood.Astrocyte/rs6421150_count_position.png",4,220,900)</f>
        <v/>
      </c>
      <c r="T3376">
        <f>IMAGE("https://mitra.stanford.edu/kundaje/oak/projects/neuro-variants/variant_position/credible/roussos_2024/variant_figures/roussos_2024.childhood.Astrocyte/rs6421150_profile_position.png",4,220,900)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0.0838713504</v>
      </c>
      <c r="G3377" t="n">
        <v>0.0996213598222291</v>
      </c>
      <c r="H3377" t="n">
        <v>0.0174489505701421</v>
      </c>
      <c r="I3377" t="n">
        <v>0.1941123191227519</v>
      </c>
      <c r="J3377" t="n">
        <v>0.0353926709563172</v>
      </c>
      <c r="K3377" t="n">
        <v>0.4978026229931643</v>
      </c>
      <c r="L3377" t="b">
        <v>0</v>
      </c>
      <c r="M3377" t="b">
        <v>0</v>
      </c>
      <c r="N3377" t="inlineStr">
        <is>
          <t>alt</t>
        </is>
      </c>
      <c r="O3377" t="n">
        <v>15</v>
      </c>
      <c r="P3377" t="n">
        <v>0.005585</v>
      </c>
      <c r="Q3377" t="n">
        <v>-75</v>
      </c>
      <c r="R3377" t="n">
        <v>0.129</v>
      </c>
      <c r="S3377">
        <f>IMAGE("https://mitra.stanford.edu/kundaje/oak/projects/neuro-variants/variant_position/credible/roussos_2024/variant_figures/roussos_2024.childhood.Astrocyte/rs355163_count_position.png",4,220,900)</f>
        <v/>
      </c>
      <c r="T3377">
        <f>IMAGE("https://mitra.stanford.edu/kundaje/oak/projects/neuro-variants/variant_position/credible/roussos_2024/variant_figures/roussos_2024.childhood.Astrocyte/rs355163_profile_position.png",4,220,900)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0.0026142922</v>
      </c>
      <c r="G3378" t="n">
        <v>0.457838177370496</v>
      </c>
      <c r="H3378" t="n">
        <v>0.0143830869334952</v>
      </c>
      <c r="I3378" t="n">
        <v>0.3381974379253037</v>
      </c>
      <c r="J3378" t="n">
        <v>0.1069412959019333</v>
      </c>
      <c r="K3378" t="n">
        <v>0.3132410389713055</v>
      </c>
      <c r="L3378" t="b">
        <v>0</v>
      </c>
      <c r="M3378" t="b">
        <v>0</v>
      </c>
      <c r="N3378" t="inlineStr">
        <is>
          <t>alt</t>
        </is>
      </c>
      <c r="O3378" t="n">
        <v>75</v>
      </c>
      <c r="P3378" t="n">
        <v>0.002167</v>
      </c>
      <c r="Q3378" t="n">
        <v>-5</v>
      </c>
      <c r="R3378" t="n">
        <v>0.003967</v>
      </c>
      <c r="S3378">
        <f>IMAGE("https://mitra.stanford.edu/kundaje/oak/projects/neuro-variants/variant_position/credible/roussos_2024/variant_figures/roussos_2024.childhood.Astrocyte/rs9687282_count_position.png",4,220,900)</f>
        <v/>
      </c>
      <c r="T3378">
        <f>IMAGE("https://mitra.stanford.edu/kundaje/oak/projects/neuro-variants/variant_position/credible/roussos_2024/variant_figures/roussos_2024.childhood.Astrocyte/rs9687282_profile_position.png",4,220,900)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0.0102516442</v>
      </c>
      <c r="G3379" t="n">
        <v>0.7060410596851334</v>
      </c>
      <c r="H3379" t="n">
        <v>0.0142341516906725</v>
      </c>
      <c r="I3379" t="n">
        <v>0.3475496914544574</v>
      </c>
      <c r="J3379" t="n">
        <v>0.1299603856105882</v>
      </c>
      <c r="K3379" t="n">
        <v>0.2768221375654923</v>
      </c>
      <c r="L3379" t="b">
        <v>0</v>
      </c>
      <c r="M3379" t="b">
        <v>0</v>
      </c>
      <c r="N3379" t="inlineStr">
        <is>
          <t>alt</t>
        </is>
      </c>
      <c r="O3379" t="n">
        <v>-80</v>
      </c>
      <c r="P3379" t="n">
        <v>0.00761</v>
      </c>
      <c r="Q3379" t="n">
        <v>-100</v>
      </c>
      <c r="R3379" t="n">
        <v>0.2283</v>
      </c>
      <c r="S3379">
        <f>IMAGE("https://mitra.stanford.edu/kundaje/oak/projects/neuro-variants/variant_position/credible/roussos_2024/variant_figures/roussos_2024.childhood.Astrocyte/rs4912894_count_position.png",4,220,900)</f>
        <v/>
      </c>
      <c r="T3379">
        <f>IMAGE("https://mitra.stanford.edu/kundaje/oak/projects/neuro-variants/variant_position/credible/roussos_2024/variant_figures/roussos_2024.childhood.Astrocyte/rs4912894_profile_position.png",4,220,900)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-0.0530083431999999</v>
      </c>
      <c r="G3380" t="n">
        <v>0.2064164008177872</v>
      </c>
      <c r="H3380" t="n">
        <v>0.0169072866495246</v>
      </c>
      <c r="I3380" t="n">
        <v>0.2164613402318129</v>
      </c>
      <c r="J3380" t="n">
        <v>0.230174104859823</v>
      </c>
      <c r="K3380" t="n">
        <v>0.1776123456499298</v>
      </c>
      <c r="L3380" t="b">
        <v>0</v>
      </c>
      <c r="M3380" t="b">
        <v>0</v>
      </c>
      <c r="N3380" t="inlineStr">
        <is>
          <t>ref</t>
        </is>
      </c>
      <c r="O3380" t="n">
        <v>70</v>
      </c>
      <c r="P3380" t="n">
        <v>0.006607</v>
      </c>
      <c r="Q3380" t="n">
        <v>100</v>
      </c>
      <c r="R3380" t="n">
        <v>0.272</v>
      </c>
      <c r="S3380">
        <f>IMAGE("https://mitra.stanford.edu/kundaje/oak/projects/neuro-variants/variant_position/credible/roussos_2024/variant_figures/roussos_2024.childhood.Astrocyte/rs2073512_count_position.png",4,220,900)</f>
        <v/>
      </c>
      <c r="T3380">
        <f>IMAGE("https://mitra.stanford.edu/kundaje/oak/projects/neuro-variants/variant_position/credible/roussos_2024/variant_figures/roussos_2024.childhood.Astrocyte/rs2073512_profile_position.png",4,220,900)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-0.00219981228</v>
      </c>
      <c r="G3381" t="n">
        <v>0.7928807500743936</v>
      </c>
      <c r="H3381" t="n">
        <v>0.0228889454319042</v>
      </c>
      <c r="I3381" t="n">
        <v>0.08018941902413711</v>
      </c>
      <c r="J3381" t="n">
        <v>0.0016151068977887</v>
      </c>
      <c r="K3381" t="n">
        <v>0.8724374351142022</v>
      </c>
      <c r="L3381" t="b">
        <v>0</v>
      </c>
      <c r="M3381" t="b">
        <v>0</v>
      </c>
      <c r="N3381" t="inlineStr">
        <is>
          <t>ref</t>
        </is>
      </c>
      <c r="O3381" t="n">
        <v>-50</v>
      </c>
      <c r="P3381" t="n">
        <v>0.003145</v>
      </c>
      <c r="Q3381" t="n">
        <v>50</v>
      </c>
      <c r="R3381" t="n">
        <v>0.08594</v>
      </c>
      <c r="S3381">
        <f>IMAGE("https://mitra.stanford.edu/kundaje/oak/projects/neuro-variants/variant_position/credible/roussos_2024/variant_figures/roussos_2024.childhood.Astrocyte/rs12186884_count_position.png",4,220,900)</f>
        <v/>
      </c>
      <c r="T3381">
        <f>IMAGE("https://mitra.stanford.edu/kundaje/oak/projects/neuro-variants/variant_position/credible/roussos_2024/variant_figures/roussos_2024.childhood.Astrocyte/rs12186884_profile_position.png",4,220,900)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-0.150803096</v>
      </c>
      <c r="G3382" t="n">
        <v>0.0370107696555258</v>
      </c>
      <c r="H3382" t="n">
        <v>0.0171960428702737</v>
      </c>
      <c r="I3382" t="n">
        <v>0.2115163965831757</v>
      </c>
      <c r="J3382" t="n">
        <v>0.239767809301367</v>
      </c>
      <c r="K3382" t="n">
        <v>0.167873224795888</v>
      </c>
      <c r="L3382" t="b">
        <v>0</v>
      </c>
      <c r="M3382" t="b">
        <v>0</v>
      </c>
      <c r="N3382" t="inlineStr">
        <is>
          <t>ref</t>
        </is>
      </c>
      <c r="O3382" t="n">
        <v>65</v>
      </c>
      <c r="P3382" t="n">
        <v>0.01843</v>
      </c>
      <c r="Q3382" t="n">
        <v>60</v>
      </c>
      <c r="R3382" t="n">
        <v>0.1675</v>
      </c>
      <c r="S3382">
        <f>IMAGE("https://mitra.stanford.edu/kundaje/oak/projects/neuro-variants/variant_position/credible/roussos_2024/variant_figures/roussos_2024.childhood.Astrocyte/rs801174_count_position.png",4,220,900)</f>
        <v/>
      </c>
      <c r="T3382">
        <f>IMAGE("https://mitra.stanford.edu/kundaje/oak/projects/neuro-variants/variant_position/credible/roussos_2024/variant_figures/roussos_2024.childhood.Astrocyte/rs801174_profile_position.png",4,220,900)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0.0241680035999999</v>
      </c>
      <c r="G3383" t="n">
        <v>0.3089953730737697</v>
      </c>
      <c r="H3383" t="n">
        <v>0.0260592127480214</v>
      </c>
      <c r="I3383" t="n">
        <v>0.0500121316997748</v>
      </c>
      <c r="J3383" t="n">
        <v>0.0003694289879629</v>
      </c>
      <c r="K3383" t="n">
        <v>0.9549046374386476</v>
      </c>
      <c r="L3383" t="b">
        <v>0</v>
      </c>
      <c r="M3383" t="b">
        <v>0</v>
      </c>
      <c r="N3383" t="inlineStr">
        <is>
          <t>alt</t>
        </is>
      </c>
      <c r="O3383" t="n">
        <v>85</v>
      </c>
      <c r="P3383" t="n">
        <v>0.005516</v>
      </c>
      <c r="Q3383" t="n">
        <v>35</v>
      </c>
      <c r="R3383" t="n">
        <v>0.07367</v>
      </c>
      <c r="S3383">
        <f>IMAGE("https://mitra.stanford.edu/kundaje/oak/projects/neuro-variants/variant_position/credible/roussos_2024/variant_figures/roussos_2024.childhood.Astrocyte/rs12659129_count_position.png",4,220,900)</f>
        <v/>
      </c>
      <c r="T3383">
        <f>IMAGE("https://mitra.stanford.edu/kundaje/oak/projects/neuro-variants/variant_position/credible/roussos_2024/variant_figures/roussos_2024.childhood.Astrocyte/rs12659129_profile_position.png",4,220,900)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0.166486058</v>
      </c>
      <c r="G3384" t="n">
        <v>0.0245214158473088</v>
      </c>
      <c r="H3384" t="n">
        <v>0.0260416584879216</v>
      </c>
      <c r="I3384" t="n">
        <v>0.0508668211655964</v>
      </c>
      <c r="J3384" t="n">
        <v>0.0442734690450565</v>
      </c>
      <c r="K3384" t="n">
        <v>0.4734134043520612</v>
      </c>
      <c r="L3384" t="b">
        <v>0</v>
      </c>
      <c r="M3384" t="b">
        <v>0</v>
      </c>
      <c r="N3384" t="inlineStr">
        <is>
          <t>alt</t>
        </is>
      </c>
      <c r="O3384" t="n">
        <v>90</v>
      </c>
      <c r="P3384" t="n">
        <v>0.00322</v>
      </c>
      <c r="Q3384" t="n">
        <v>-25</v>
      </c>
      <c r="R3384" t="n">
        <v>0.11066</v>
      </c>
      <c r="S3384">
        <f>IMAGE("https://mitra.stanford.edu/kundaje/oak/projects/neuro-variants/variant_position/credible/roussos_2024/variant_figures/roussos_2024.childhood.Astrocyte/rs7710380_count_position.png",4,220,900)</f>
        <v/>
      </c>
      <c r="T3384">
        <f>IMAGE("https://mitra.stanford.edu/kundaje/oak/projects/neuro-variants/variant_position/credible/roussos_2024/variant_figures/roussos_2024.childhood.Astrocyte/rs7710380_profile_position.png",4,220,900)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0.0033052748399999</v>
      </c>
      <c r="G3385" t="n">
        <v>0.8144914868518657</v>
      </c>
      <c r="H3385" t="n">
        <v>0.0216349297606258</v>
      </c>
      <c r="I3385" t="n">
        <v>0.0970361000549131</v>
      </c>
      <c r="J3385" t="n">
        <v>0.0059375787135627</v>
      </c>
      <c r="K3385" t="n">
        <v>0.7717757320465982</v>
      </c>
      <c r="L3385" t="b">
        <v>0</v>
      </c>
      <c r="M3385" t="b">
        <v>0</v>
      </c>
      <c r="N3385" t="inlineStr">
        <is>
          <t>alt</t>
        </is>
      </c>
      <c r="O3385" t="n">
        <v>-55</v>
      </c>
      <c r="P3385" t="n">
        <v>0.004723</v>
      </c>
      <c r="Q3385" t="n">
        <v>-95</v>
      </c>
      <c r="R3385" t="n">
        <v>0.10986</v>
      </c>
      <c r="S3385">
        <f>IMAGE("https://mitra.stanford.edu/kundaje/oak/projects/neuro-variants/variant_position/credible/roussos_2024/variant_figures/roussos_2024.childhood.Astrocyte/rs1548699_count_position.png",4,220,900)</f>
        <v/>
      </c>
      <c r="T3385">
        <f>IMAGE("https://mitra.stanford.edu/kundaje/oak/projects/neuro-variants/variant_position/credible/roussos_2024/variant_figures/roussos_2024.childhood.Astrocyte/rs1548699_profile_position.png",4,220,900)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0.0483705844</v>
      </c>
      <c r="G3386" t="n">
        <v>0.2330254270896504</v>
      </c>
      <c r="H3386" t="n">
        <v>0.0107587580056632</v>
      </c>
      <c r="I3386" t="n">
        <v>0.6387081606757838</v>
      </c>
      <c r="J3386" t="n">
        <v>0.0293177012968178</v>
      </c>
      <c r="K3386" t="n">
        <v>0.5323967490385406</v>
      </c>
      <c r="L3386" t="b">
        <v>0</v>
      </c>
      <c r="M3386" t="b">
        <v>0</v>
      </c>
      <c r="N3386" t="inlineStr">
        <is>
          <t>alt</t>
        </is>
      </c>
      <c r="O3386" t="n">
        <v>95</v>
      </c>
      <c r="P3386" t="n">
        <v>0.01456</v>
      </c>
      <c r="Q3386" t="n">
        <v>90</v>
      </c>
      <c r="R3386" t="n">
        <v>0.1819</v>
      </c>
      <c r="S3386">
        <f>IMAGE("https://mitra.stanford.edu/kundaje/oak/projects/neuro-variants/variant_position/credible/roussos_2024/variant_figures/roussos_2024.childhood.Astrocyte/rs13184940_count_position.png",4,220,900)</f>
        <v/>
      </c>
      <c r="T3386">
        <f>IMAGE("https://mitra.stanford.edu/kundaje/oak/projects/neuro-variants/variant_position/credible/roussos_2024/variant_figures/roussos_2024.childhood.Astrocyte/rs13184940_profile_position.png",4,220,900)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0.0974961288</v>
      </c>
      <c r="G3387" t="n">
        <v>0.0730081608038342</v>
      </c>
      <c r="H3387" t="n">
        <v>0.0175232182107584</v>
      </c>
      <c r="I3387" t="n">
        <v>0.1901076271924492</v>
      </c>
      <c r="J3387" t="n">
        <v>0.4966888782029264</v>
      </c>
      <c r="K3387" t="n">
        <v>0.0559857305058793</v>
      </c>
      <c r="L3387" t="b">
        <v>0</v>
      </c>
      <c r="M3387" t="b">
        <v>0</v>
      </c>
      <c r="N3387" t="inlineStr">
        <is>
          <t>alt</t>
        </is>
      </c>
      <c r="O3387" t="n">
        <v>40</v>
      </c>
      <c r="P3387" t="n">
        <v>0.006104</v>
      </c>
      <c r="Q3387" t="n">
        <v>45</v>
      </c>
      <c r="R3387" t="n">
        <v>0.03857</v>
      </c>
      <c r="S3387">
        <f>IMAGE("https://mitra.stanford.edu/kundaje/oak/projects/neuro-variants/variant_position/credible/roussos_2024/variant_figures/roussos_2024.childhood.Astrocyte/rs3756338_count_position.png",4,220,900)</f>
        <v/>
      </c>
      <c r="T3387">
        <f>IMAGE("https://mitra.stanford.edu/kundaje/oak/projects/neuro-variants/variant_position/credible/roussos_2024/variant_figures/roussos_2024.childhood.Astrocyte/rs3756338_profile_position.png",4,220,900)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-0.00660826724</v>
      </c>
      <c r="G3388" t="n">
        <v>0.7044241764979862</v>
      </c>
      <c r="H3388" t="n">
        <v>0.0347708331659144</v>
      </c>
      <c r="I3388" t="n">
        <v>0.0173123350785119</v>
      </c>
      <c r="J3388" t="n">
        <v>0.5928678833398211</v>
      </c>
      <c r="K3388" t="n">
        <v>0.0347831121053504</v>
      </c>
      <c r="L3388" t="b">
        <v>1</v>
      </c>
      <c r="M3388" t="b">
        <v>0</v>
      </c>
      <c r="N3388" t="inlineStr">
        <is>
          <t>ref</t>
        </is>
      </c>
      <c r="O3388" t="n">
        <v>-40</v>
      </c>
      <c r="P3388" t="n">
        <v>0.0799</v>
      </c>
      <c r="Q3388" t="n">
        <v>-25</v>
      </c>
      <c r="R3388" t="n">
        <v>0.4521</v>
      </c>
      <c r="S3388">
        <f>IMAGE("https://mitra.stanford.edu/kundaje/oak/projects/neuro-variants/variant_position/credible/roussos_2024/variant_figures/roussos_2024.childhood.Astrocyte/rs3806845_count_position.png",4,220,900)</f>
        <v/>
      </c>
      <c r="T3388">
        <f>IMAGE("https://mitra.stanford.edu/kundaje/oak/projects/neuro-variants/variant_position/credible/roussos_2024/variant_figures/roussos_2024.childhood.Astrocyte/rs3806845_profile_position.png",4,220,900)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-0.08356812199999999</v>
      </c>
      <c r="G3389" t="n">
        <v>0.1016324048733127</v>
      </c>
      <c r="H3389" t="n">
        <v>0.0170096495396944</v>
      </c>
      <c r="I3389" t="n">
        <v>0.2073634337042849</v>
      </c>
      <c r="J3389" t="n">
        <v>0.5871050964408113</v>
      </c>
      <c r="K3389" t="n">
        <v>0.0363460395424096</v>
      </c>
      <c r="L3389" t="b">
        <v>0</v>
      </c>
      <c r="M3389" t="b">
        <v>0</v>
      </c>
      <c r="N3389" t="inlineStr">
        <is>
          <t>ref</t>
        </is>
      </c>
      <c r="O3389" t="n">
        <v>-95</v>
      </c>
      <c r="P3389" t="n">
        <v>0.015076</v>
      </c>
      <c r="Q3389" t="n">
        <v>-40</v>
      </c>
      <c r="R3389" t="n">
        <v>0.02417</v>
      </c>
      <c r="S3389">
        <f>IMAGE("https://mitra.stanford.edu/kundaje/oak/projects/neuro-variants/variant_position/credible/roussos_2024/variant_figures/roussos_2024.childhood.Astrocyte/rs4151682_count_position.png",4,220,900)</f>
        <v/>
      </c>
      <c r="T3389">
        <f>IMAGE("https://mitra.stanford.edu/kundaje/oak/projects/neuro-variants/variant_position/credible/roussos_2024/variant_figures/roussos_2024.childhood.Astrocyte/rs4151682_profile_position.png",4,220,900)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0.0398544414</v>
      </c>
      <c r="G3390" t="n">
        <v>0.2789689793473707</v>
      </c>
      <c r="H3390" t="n">
        <v>0.0097505574412005</v>
      </c>
      <c r="I3390" t="n">
        <v>0.7228328355098929</v>
      </c>
      <c r="J3390" t="n">
        <v>0.6489752925282224</v>
      </c>
      <c r="K3390" t="n">
        <v>0.0256517773809386</v>
      </c>
      <c r="L3390" t="b">
        <v>0</v>
      </c>
      <c r="M3390" t="b">
        <v>0</v>
      </c>
      <c r="N3390" t="inlineStr">
        <is>
          <t>alt</t>
        </is>
      </c>
      <c r="O3390" t="n">
        <v>-100</v>
      </c>
      <c r="P3390" t="n">
        <v>0.01799</v>
      </c>
      <c r="Q3390" t="n">
        <v>85</v>
      </c>
      <c r="R3390" t="n">
        <v>0.176</v>
      </c>
      <c r="S3390">
        <f>IMAGE("https://mitra.stanford.edu/kundaje/oak/projects/neuro-variants/variant_position/credible/roussos_2024/variant_figures/roussos_2024.childhood.Astrocyte/rs11958868_count_position.png",4,220,900)</f>
        <v/>
      </c>
      <c r="T3390">
        <f>IMAGE("https://mitra.stanford.edu/kundaje/oak/projects/neuro-variants/variant_position/credible/roussos_2024/variant_figures/roussos_2024.childhood.Astrocyte/rs11958868_profile_position.png",4,220,900)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-0.07653575579999999</v>
      </c>
      <c r="G3391" t="n">
        <v>0.1136103861263638</v>
      </c>
      <c r="H3391" t="n">
        <v>0.010702557502128</v>
      </c>
      <c r="I3391" t="n">
        <v>0.6406104527143259</v>
      </c>
      <c r="J3391" t="n">
        <v>0.007841969880851399</v>
      </c>
      <c r="K3391" t="n">
        <v>0.7287171402173066</v>
      </c>
      <c r="L3391" t="b">
        <v>0</v>
      </c>
      <c r="M3391" t="b">
        <v>0</v>
      </c>
      <c r="N3391" t="inlineStr">
        <is>
          <t>ref</t>
        </is>
      </c>
      <c r="O3391" t="n">
        <v>50</v>
      </c>
      <c r="P3391" t="n">
        <v>0.01253</v>
      </c>
      <c r="Q3391" t="n">
        <v>0</v>
      </c>
      <c r="R3391" t="n">
        <v>0</v>
      </c>
      <c r="S3391">
        <f>IMAGE("https://mitra.stanford.edu/kundaje/oak/projects/neuro-variants/variant_position/credible/roussos_2024/variant_figures/roussos_2024.childhood.Astrocyte/rs10038174_count_position.png",4,220,900)</f>
        <v/>
      </c>
      <c r="T3391">
        <f>IMAGE("https://mitra.stanford.edu/kundaje/oak/projects/neuro-variants/variant_position/credible/roussos_2024/variant_figures/roussos_2024.childhood.Astrocyte/rs10038174_profile_position.png",4,220,900)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-0.0005767277399999</v>
      </c>
      <c r="G3392" t="n">
        <v>0.8130250708620053</v>
      </c>
      <c r="H3392" t="n">
        <v>0.030355077451348</v>
      </c>
      <c r="I3392" t="n">
        <v>0.0290684728600624</v>
      </c>
      <c r="J3392" t="n">
        <v>0.0023158007220657</v>
      </c>
      <c r="K3392" t="n">
        <v>0.8700142116983914</v>
      </c>
      <c r="L3392" t="b">
        <v>0</v>
      </c>
      <c r="M3392" t="b">
        <v>0</v>
      </c>
      <c r="N3392" t="inlineStr">
        <is>
          <t>ref</t>
        </is>
      </c>
      <c r="O3392" t="n">
        <v>100</v>
      </c>
      <c r="P3392" t="n">
        <v>0.02225</v>
      </c>
      <c r="Q3392" t="n">
        <v>100</v>
      </c>
      <c r="R3392" t="n">
        <v>0.02469</v>
      </c>
      <c r="S3392">
        <f>IMAGE("https://mitra.stanford.edu/kundaje/oak/projects/neuro-variants/variant_position/credible/roussos_2024/variant_figures/roussos_2024.childhood.Astrocyte/rs35123355_count_position.png",4,220,900)</f>
        <v/>
      </c>
      <c r="T3392">
        <f>IMAGE("https://mitra.stanford.edu/kundaje/oak/projects/neuro-variants/variant_position/credible/roussos_2024/variant_figures/roussos_2024.childhood.Astrocyte/rs35123355_profile_position.png",4,220,900)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0.0150913056</v>
      </c>
      <c r="G3393" t="n">
        <v>0.3242716351127917</v>
      </c>
      <c r="H3393" t="n">
        <v>0.0254710487938043</v>
      </c>
      <c r="I3393" t="n">
        <v>0.0544179612155551</v>
      </c>
      <c r="J3393" t="n">
        <v>0.9259523864044028</v>
      </c>
      <c r="K3393" t="n">
        <v>0.0008554647718262</v>
      </c>
      <c r="L3393" t="b">
        <v>0</v>
      </c>
      <c r="M3393" t="b">
        <v>0</v>
      </c>
      <c r="N3393" t="inlineStr">
        <is>
          <t>alt</t>
        </is>
      </c>
      <c r="O3393" t="n">
        <v>55</v>
      </c>
      <c r="P3393" t="n">
        <v>0.015564</v>
      </c>
      <c r="Q3393" t="n">
        <v>100</v>
      </c>
      <c r="R3393" t="n">
        <v>0.1299</v>
      </c>
      <c r="S3393">
        <f>IMAGE("https://mitra.stanford.edu/kundaje/oak/projects/neuro-variants/variant_position/credible/roussos_2024/variant_figures/roussos_2024.childhood.Astrocyte/rs31745_count_position.png",4,220,900)</f>
        <v/>
      </c>
      <c r="T3393">
        <f>IMAGE("https://mitra.stanford.edu/kundaje/oak/projects/neuro-variants/variant_position/credible/roussos_2024/variant_figures/roussos_2024.childhood.Astrocyte/rs31745_profile_position.png",4,220,900)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0.0843588698</v>
      </c>
      <c r="G3394" t="n">
        <v>0.1005789333294265</v>
      </c>
      <c r="H3394" t="n">
        <v>0.013643742770669</v>
      </c>
      <c r="I3394" t="n">
        <v>0.3812470839350165</v>
      </c>
      <c r="J3394" t="n">
        <v>0.0001938738903772</v>
      </c>
      <c r="K3394" t="n">
        <v>0.9725232798800728</v>
      </c>
      <c r="L3394" t="b">
        <v>0</v>
      </c>
      <c r="M3394" t="b">
        <v>0</v>
      </c>
      <c r="N3394" t="inlineStr">
        <is>
          <t>alt</t>
        </is>
      </c>
      <c r="O3394" t="n">
        <v>100</v>
      </c>
      <c r="P3394" t="n">
        <v>0.00445</v>
      </c>
      <c r="Q3394" t="n">
        <v>0</v>
      </c>
      <c r="R3394" t="n">
        <v>0</v>
      </c>
      <c r="S3394">
        <f>IMAGE("https://mitra.stanford.edu/kundaje/oak/projects/neuro-variants/variant_position/credible/roussos_2024/variant_figures/roussos_2024.childhood.Astrocyte/rs34907800_count_position.png",4,220,900)</f>
        <v/>
      </c>
      <c r="T3394">
        <f>IMAGE("https://mitra.stanford.edu/kundaje/oak/projects/neuro-variants/variant_position/credible/roussos_2024/variant_figures/roussos_2024.childhood.Astrocyte/rs34907800_profile_position.png",4,220,900)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0.0431352752</v>
      </c>
      <c r="G3395" t="n">
        <v>0.2499577186735465</v>
      </c>
      <c r="H3395" t="n">
        <v>0.0122818065146673</v>
      </c>
      <c r="I3395" t="n">
        <v>0.4891939062282985</v>
      </c>
      <c r="J3395" t="n">
        <v>0.0225054002274583</v>
      </c>
      <c r="K3395" t="n">
        <v>0.5696109404593968</v>
      </c>
      <c r="L3395" t="b">
        <v>0</v>
      </c>
      <c r="M3395" t="b">
        <v>0</v>
      </c>
      <c r="N3395" t="inlineStr">
        <is>
          <t>alt</t>
        </is>
      </c>
      <c r="O3395" t="n">
        <v>40</v>
      </c>
      <c r="P3395" t="n">
        <v>0.001591</v>
      </c>
      <c r="Q3395" t="n">
        <v>-40</v>
      </c>
      <c r="R3395" t="n">
        <v>0.05603</v>
      </c>
      <c r="S3395">
        <f>IMAGE("https://mitra.stanford.edu/kundaje/oak/projects/neuro-variants/variant_position/credible/roussos_2024/variant_figures/roussos_2024.childhood.Astrocyte/rs31860_count_position.png",4,220,900)</f>
        <v/>
      </c>
      <c r="T3395">
        <f>IMAGE("https://mitra.stanford.edu/kundaje/oak/projects/neuro-variants/variant_position/credible/roussos_2024/variant_figures/roussos_2024.childhood.Astrocyte/rs31860_profile_position.png",4,220,900)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0.01730934706</v>
      </c>
      <c r="G3396" t="n">
        <v>0.5832069853249228</v>
      </c>
      <c r="H3396" t="n">
        <v>0.0164084269319936</v>
      </c>
      <c r="I3396" t="n">
        <v>0.2331546271822345</v>
      </c>
      <c r="J3396" t="n">
        <v>0.0165914832879179</v>
      </c>
      <c r="K3396" t="n">
        <v>0.6177864068112813</v>
      </c>
      <c r="L3396" t="b">
        <v>0</v>
      </c>
      <c r="M3396" t="b">
        <v>0</v>
      </c>
      <c r="N3396" t="inlineStr">
        <is>
          <t>alt</t>
        </is>
      </c>
      <c r="O3396" t="n">
        <v>-95</v>
      </c>
      <c r="P3396" t="n">
        <v>0.008446</v>
      </c>
      <c r="Q3396" t="n">
        <v>-95</v>
      </c>
      <c r="R3396" t="n">
        <v>0.1986</v>
      </c>
      <c r="S3396">
        <f>IMAGE("https://mitra.stanford.edu/kundaje/oak/projects/neuro-variants/variant_position/credible/roussos_2024/variant_figures/roussos_2024.childhood.Astrocyte/rs31859_count_position.png",4,220,900)</f>
        <v/>
      </c>
      <c r="T3396">
        <f>IMAGE("https://mitra.stanford.edu/kundaje/oak/projects/neuro-variants/variant_position/credible/roussos_2024/variant_figures/roussos_2024.childhood.Astrocyte/rs31859_profile_position.png",4,220,900)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0.02102520246</v>
      </c>
      <c r="G3397" t="n">
        <v>0.446228856895264</v>
      </c>
      <c r="H3397" t="n">
        <v>0.0144349414394132</v>
      </c>
      <c r="I3397" t="n">
        <v>0.3300144443215657</v>
      </c>
      <c r="J3397" t="n">
        <v>0.0065756833291352</v>
      </c>
      <c r="K3397" t="n">
        <v>0.7491864778482371</v>
      </c>
      <c r="L3397" t="b">
        <v>0</v>
      </c>
      <c r="M3397" t="b">
        <v>0</v>
      </c>
      <c r="N3397" t="inlineStr">
        <is>
          <t>alt</t>
        </is>
      </c>
      <c r="O3397" t="n">
        <v>50</v>
      </c>
      <c r="P3397" t="n">
        <v>0.007694</v>
      </c>
      <c r="Q3397" t="n">
        <v>-90</v>
      </c>
      <c r="R3397" t="n">
        <v>0.0868</v>
      </c>
      <c r="S3397">
        <f>IMAGE("https://mitra.stanford.edu/kundaje/oak/projects/neuro-variants/variant_position/credible/roussos_2024/variant_figures/roussos_2024.childhood.Astrocyte/rs35110655_count_position.png",4,220,900)</f>
        <v/>
      </c>
      <c r="T3397">
        <f>IMAGE("https://mitra.stanford.edu/kundaje/oak/projects/neuro-variants/variant_position/credible/roussos_2024/variant_figures/roussos_2024.childhood.Astrocyte/rs35110655_profile_position.png",4,220,900)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-0.008053503599999999</v>
      </c>
      <c r="G3398" t="n">
        <v>0.6829187048482217</v>
      </c>
      <c r="H3398" t="n">
        <v>0.0103098529060206</v>
      </c>
      <c r="I3398" t="n">
        <v>0.6869218606291236</v>
      </c>
      <c r="J3398" t="n">
        <v>0.0002205887965315</v>
      </c>
      <c r="K3398" t="n">
        <v>0.9693839674594448</v>
      </c>
      <c r="L3398" t="b">
        <v>0</v>
      </c>
      <c r="M3398" t="b">
        <v>0</v>
      </c>
      <c r="N3398" t="inlineStr">
        <is>
          <t>ref</t>
        </is>
      </c>
      <c r="O3398" t="n">
        <v>100</v>
      </c>
      <c r="P3398" t="n">
        <v>0.01756</v>
      </c>
      <c r="Q3398" t="n">
        <v>85</v>
      </c>
      <c r="R3398" t="n">
        <v>0.0357</v>
      </c>
      <c r="S3398">
        <f>IMAGE("https://mitra.stanford.edu/kundaje/oak/projects/neuro-variants/variant_position/credible/roussos_2024/variant_figures/roussos_2024.childhood.Astrocyte/rs34580312_count_position.png",4,220,900)</f>
        <v/>
      </c>
      <c r="T3398">
        <f>IMAGE("https://mitra.stanford.edu/kundaje/oak/projects/neuro-variants/variant_position/credible/roussos_2024/variant_figures/roussos_2024.childhood.Astrocyte/rs34580312_profile_position.png",4,220,900)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-0.0357120784</v>
      </c>
      <c r="G3399" t="n">
        <v>0.3333265370937985</v>
      </c>
      <c r="H3399" t="n">
        <v>0.0116623618789422</v>
      </c>
      <c r="I3399" t="n">
        <v>0.531267164071451</v>
      </c>
      <c r="J3399" t="n">
        <v>0.7718020349125659</v>
      </c>
      <c r="K3399" t="n">
        <v>0.0106412521648025</v>
      </c>
      <c r="L3399" t="b">
        <v>0</v>
      </c>
      <c r="M3399" t="b">
        <v>0</v>
      </c>
      <c r="N3399" t="inlineStr">
        <is>
          <t>ref</t>
        </is>
      </c>
      <c r="O3399" t="n">
        <v>-40</v>
      </c>
      <c r="P3399" t="n">
        <v>0.0237</v>
      </c>
      <c r="Q3399" t="n">
        <v>-50</v>
      </c>
      <c r="R3399" t="n">
        <v>0.0973</v>
      </c>
      <c r="S3399">
        <f>IMAGE("https://mitra.stanford.edu/kundaje/oak/projects/neuro-variants/variant_position/credible/roussos_2024/variant_figures/roussos_2024.childhood.Astrocyte/rs31853_count_position.png",4,220,900)</f>
        <v/>
      </c>
      <c r="T3399">
        <f>IMAGE("https://mitra.stanford.edu/kundaje/oak/projects/neuro-variants/variant_position/credible/roussos_2024/variant_figures/roussos_2024.childhood.Astrocyte/rs31853_profile_position.png",4,220,900)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-0.008662343699999899</v>
      </c>
      <c r="G3400" t="n">
        <v>0.3877958591266159</v>
      </c>
      <c r="H3400" t="n">
        <v>0.0119984282837249</v>
      </c>
      <c r="I3400" t="n">
        <v>0.516219894466148</v>
      </c>
      <c r="J3400" t="n">
        <v>0.08182317785257941</v>
      </c>
      <c r="K3400" t="n">
        <v>0.3583769414759709</v>
      </c>
      <c r="L3400" t="b">
        <v>0</v>
      </c>
      <c r="M3400" t="b">
        <v>0</v>
      </c>
      <c r="N3400" t="inlineStr">
        <is>
          <t>ref</t>
        </is>
      </c>
      <c r="O3400" t="n">
        <v>100</v>
      </c>
      <c r="P3400" t="n">
        <v>0.004265</v>
      </c>
      <c r="Q3400" t="n">
        <v>-65</v>
      </c>
      <c r="R3400" t="n">
        <v>0.1278</v>
      </c>
      <c r="S3400">
        <f>IMAGE("https://mitra.stanford.edu/kundaje/oak/projects/neuro-variants/variant_position/credible/roussos_2024/variant_figures/roussos_2024.childhood.Astrocyte/rs13183611_count_position.png",4,220,900)</f>
        <v/>
      </c>
      <c r="T3400">
        <f>IMAGE("https://mitra.stanford.edu/kundaje/oak/projects/neuro-variants/variant_position/credible/roussos_2024/variant_figures/roussos_2024.childhood.Astrocyte/rs13183611_profile_position.png",4,220,900)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0.007928086799999999</v>
      </c>
      <c r="G3401" t="n">
        <v>0.4420327106218586</v>
      </c>
      <c r="H3401" t="n">
        <v>0.0155297458164671</v>
      </c>
      <c r="I3401" t="n">
        <v>0.2773518147529516</v>
      </c>
      <c r="J3401" t="n">
        <v>0.9133513468129116</v>
      </c>
      <c r="K3401" t="n">
        <v>0.0013619088328027</v>
      </c>
      <c r="L3401" t="b">
        <v>0</v>
      </c>
      <c r="M3401" t="b">
        <v>0</v>
      </c>
      <c r="N3401" t="inlineStr">
        <is>
          <t>alt</t>
        </is>
      </c>
      <c r="O3401" t="n">
        <v>-100</v>
      </c>
      <c r="P3401" t="n">
        <v>0.1688</v>
      </c>
      <c r="Q3401" t="n">
        <v>-70</v>
      </c>
      <c r="R3401" t="n">
        <v>0.515</v>
      </c>
      <c r="S3401">
        <f>IMAGE("https://mitra.stanford.edu/kundaje/oak/projects/neuro-variants/variant_position/credible/roussos_2024/variant_figures/roussos_2024.childhood.Astrocyte/rs1055410_count_position.png",4,220,900)</f>
        <v/>
      </c>
      <c r="T3401">
        <f>IMAGE("https://mitra.stanford.edu/kundaje/oak/projects/neuro-variants/variant_position/credible/roussos_2024/variant_figures/roussos_2024.childhood.Astrocyte/rs1055410_profile_position.png",4,220,900)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0.01027555402</v>
      </c>
      <c r="G3402" t="n">
        <v>0.7108891137549954</v>
      </c>
      <c r="H3402" t="n">
        <v>0.007831421330528001</v>
      </c>
      <c r="I3402" t="n">
        <v>0.9023532375696716</v>
      </c>
      <c r="J3402" t="n">
        <v>0.009418149343958199</v>
      </c>
      <c r="K3402" t="n">
        <v>0.6995916868111886</v>
      </c>
      <c r="L3402" t="b">
        <v>0</v>
      </c>
      <c r="M3402" t="b">
        <v>0</v>
      </c>
      <c r="N3402" t="inlineStr">
        <is>
          <t>alt</t>
        </is>
      </c>
      <c r="O3402" t="n">
        <v>55</v>
      </c>
      <c r="P3402" t="n">
        <v>0.006516</v>
      </c>
      <c r="Q3402" t="n">
        <v>55</v>
      </c>
      <c r="R3402" t="n">
        <v>0.04477</v>
      </c>
      <c r="S3402">
        <f>IMAGE("https://mitra.stanford.edu/kundaje/oak/projects/neuro-variants/variant_position/credible/roussos_2024/variant_figures/roussos_2024.childhood.Astrocyte/rs34535102_count_position.png",4,220,900)</f>
        <v/>
      </c>
      <c r="T3402">
        <f>IMAGE("https://mitra.stanford.edu/kundaje/oak/projects/neuro-variants/variant_position/credible/roussos_2024/variant_figures/roussos_2024.childhood.Astrocyte/rs34535102_profile_position.png",4,220,900)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-0.0494068503999999</v>
      </c>
      <c r="G3403" t="n">
        <v>0.2234432715497485</v>
      </c>
      <c r="H3403" t="n">
        <v>0.0151683967109782</v>
      </c>
      <c r="I3403" t="n">
        <v>0.2962322969217784</v>
      </c>
      <c r="J3403" t="n">
        <v>0.4563989833070001</v>
      </c>
      <c r="K3403" t="n">
        <v>0.06798484462382801</v>
      </c>
      <c r="L3403" t="b">
        <v>0</v>
      </c>
      <c r="M3403" t="b">
        <v>0</v>
      </c>
      <c r="N3403" t="inlineStr">
        <is>
          <t>ref</t>
        </is>
      </c>
      <c r="O3403" t="n">
        <v>-100</v>
      </c>
      <c r="P3403" t="n">
        <v>0.0047</v>
      </c>
      <c r="Q3403" t="n">
        <v>-35</v>
      </c>
      <c r="R3403" t="n">
        <v>0.0897</v>
      </c>
      <c r="S3403">
        <f>IMAGE("https://mitra.stanford.edu/kundaje/oak/projects/neuro-variants/variant_position/credible/roussos_2024/variant_figures/roussos_2024.childhood.Astrocyte/rs17844417_count_position.png",4,220,900)</f>
        <v/>
      </c>
      <c r="T3403">
        <f>IMAGE("https://mitra.stanford.edu/kundaje/oak/projects/neuro-variants/variant_position/credible/roussos_2024/variant_figures/roussos_2024.childhood.Astrocyte/rs17844417_profile_position.png",4,220,900)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0.00455917064</v>
      </c>
      <c r="G3404" t="n">
        <v>0.855144686453158</v>
      </c>
      <c r="H3404" t="n">
        <v>0.0190979819556291</v>
      </c>
      <c r="I3404" t="n">
        <v>0.1460266942568414</v>
      </c>
      <c r="J3404" t="n">
        <v>0.003908772411898</v>
      </c>
      <c r="K3404" t="n">
        <v>0.7978021132652805</v>
      </c>
      <c r="L3404" t="b">
        <v>0</v>
      </c>
      <c r="M3404" t="b">
        <v>0</v>
      </c>
      <c r="N3404" t="inlineStr">
        <is>
          <t>alt</t>
        </is>
      </c>
      <c r="O3404" t="n">
        <v>-100</v>
      </c>
      <c r="P3404" t="n">
        <v>0.006447</v>
      </c>
      <c r="Q3404" t="n">
        <v>65</v>
      </c>
      <c r="R3404" t="n">
        <v>0.05865</v>
      </c>
      <c r="S3404">
        <f>IMAGE("https://mitra.stanford.edu/kundaje/oak/projects/neuro-variants/variant_position/credible/roussos_2024/variant_figures/roussos_2024.childhood.Astrocyte/rs74601574_count_position.png",4,220,900)</f>
        <v/>
      </c>
      <c r="T3404">
        <f>IMAGE("https://mitra.stanford.edu/kundaje/oak/projects/neuro-variants/variant_position/credible/roussos_2024/variant_figures/roussos_2024.childhood.Astrocyte/rs74601574_profile_position.png",4,220,900)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0.0576871912</v>
      </c>
      <c r="G3405" t="n">
        <v>0.1730672062580866</v>
      </c>
      <c r="H3405" t="n">
        <v>0.0146459054722919</v>
      </c>
      <c r="I3405" t="n">
        <v>0.3172694916480926</v>
      </c>
      <c r="J3405" t="n">
        <v>0.0021715402288321</v>
      </c>
      <c r="K3405" t="n">
        <v>0.8535279437328041</v>
      </c>
      <c r="L3405" t="b">
        <v>0</v>
      </c>
      <c r="M3405" t="b">
        <v>0</v>
      </c>
      <c r="N3405" t="inlineStr">
        <is>
          <t>alt</t>
        </is>
      </c>
      <c r="O3405" t="n">
        <v>100</v>
      </c>
      <c r="P3405" t="n">
        <v>0.00557</v>
      </c>
      <c r="Q3405" t="n">
        <v>50</v>
      </c>
      <c r="R3405" t="n">
        <v>0.05054</v>
      </c>
      <c r="S3405">
        <f>IMAGE("https://mitra.stanford.edu/kundaje/oak/projects/neuro-variants/variant_position/credible/roussos_2024/variant_figures/roussos_2024.childhood.Astrocyte/rs35737105_count_position.png",4,220,900)</f>
        <v/>
      </c>
      <c r="T3405">
        <f>IMAGE("https://mitra.stanford.edu/kundaje/oak/projects/neuro-variants/variant_position/credible/roussos_2024/variant_figures/roussos_2024.childhood.Astrocyte/rs35737105_profile_position.png",4,220,900)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0.215949534</v>
      </c>
      <c r="G3406" t="n">
        <v>0.013530666582994</v>
      </c>
      <c r="H3406" t="n">
        <v>0.0307667245862695</v>
      </c>
      <c r="I3406" t="n">
        <v>0.0266196512354985</v>
      </c>
      <c r="J3406" t="n">
        <v>0.04548785235053</v>
      </c>
      <c r="K3406" t="n">
        <v>0.4639678277798374</v>
      </c>
      <c r="L3406" t="b">
        <v>1</v>
      </c>
      <c r="M3406" t="b">
        <v>0</v>
      </c>
      <c r="N3406" t="inlineStr">
        <is>
          <t>alt</t>
        </is>
      </c>
      <c r="O3406" t="n">
        <v>95</v>
      </c>
      <c r="P3406" t="n">
        <v>0.02803</v>
      </c>
      <c r="Q3406" t="n">
        <v>-100</v>
      </c>
      <c r="R3406" t="n">
        <v>0.1033</v>
      </c>
      <c r="S3406">
        <f>IMAGE("https://mitra.stanford.edu/kundaje/oak/projects/neuro-variants/variant_position/credible/roussos_2024/variant_figures/roussos_2024.childhood.Astrocyte/rs3864272_count_position.png",4,220,900)</f>
        <v/>
      </c>
      <c r="T3406">
        <f>IMAGE("https://mitra.stanford.edu/kundaje/oak/projects/neuro-variants/variant_position/credible/roussos_2024/variant_figures/roussos_2024.childhood.Astrocyte/rs3864272_profile_position.png",4,220,900)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0.0261939604</v>
      </c>
      <c r="G3407" t="n">
        <v>0.4244027130990459</v>
      </c>
      <c r="H3407" t="n">
        <v>0.0097624854090336</v>
      </c>
      <c r="I3407" t="n">
        <v>0.7342878935799771</v>
      </c>
      <c r="J3407" t="n">
        <v>0.1267332249471426</v>
      </c>
      <c r="K3407" t="n">
        <v>0.293581331279066</v>
      </c>
      <c r="L3407" t="b">
        <v>0</v>
      </c>
      <c r="M3407" t="b">
        <v>0</v>
      </c>
      <c r="N3407" t="inlineStr">
        <is>
          <t>alt</t>
        </is>
      </c>
      <c r="O3407" t="n">
        <v>100</v>
      </c>
      <c r="P3407" t="n">
        <v>0.01511</v>
      </c>
      <c r="Q3407" t="n">
        <v>-100</v>
      </c>
      <c r="R3407" t="n">
        <v>0.0764</v>
      </c>
      <c r="S3407">
        <f>IMAGE("https://mitra.stanford.edu/kundaje/oak/projects/neuro-variants/variant_position/credible/roussos_2024/variant_figures/roussos_2024.childhood.Astrocyte/rs12657267_count_position.png",4,220,900)</f>
        <v/>
      </c>
      <c r="T3407">
        <f>IMAGE("https://mitra.stanford.edu/kundaje/oak/projects/neuro-variants/variant_position/credible/roussos_2024/variant_figures/roussos_2024.childhood.Astrocyte/rs12657267_profile_position.png",4,220,900)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-0.07386034259999991</v>
      </c>
      <c r="G3408" t="n">
        <v>0.1301082649156273</v>
      </c>
      <c r="H3408" t="n">
        <v>0.0122145567226554</v>
      </c>
      <c r="I3408" t="n">
        <v>0.4948926623174828</v>
      </c>
      <c r="J3408" t="n">
        <v>0.3943883431415203</v>
      </c>
      <c r="K3408" t="n">
        <v>0.0892976972812691</v>
      </c>
      <c r="L3408" t="b">
        <v>0</v>
      </c>
      <c r="M3408" t="b">
        <v>0</v>
      </c>
      <c r="N3408" t="inlineStr">
        <is>
          <t>ref</t>
        </is>
      </c>
      <c r="O3408" t="n">
        <v>100</v>
      </c>
      <c r="P3408" t="n">
        <v>0.06859999999999999</v>
      </c>
      <c r="Q3408" t="n">
        <v>-100</v>
      </c>
      <c r="R3408" t="n">
        <v>0.3408</v>
      </c>
      <c r="S3408">
        <f>IMAGE("https://mitra.stanford.edu/kundaje/oak/projects/neuro-variants/variant_position/credible/roussos_2024/variant_figures/roussos_2024.childhood.Astrocyte/rs17454953_count_position.png",4,220,900)</f>
        <v/>
      </c>
      <c r="T3408">
        <f>IMAGE("https://mitra.stanford.edu/kundaje/oak/projects/neuro-variants/variant_position/credible/roussos_2024/variant_figures/roussos_2024.childhood.Astrocyte/rs17454953_profile_position.png",4,220,900)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-0.0436842418</v>
      </c>
      <c r="G3409" t="n">
        <v>0.2709909216659028</v>
      </c>
      <c r="H3409" t="n">
        <v>0.0311469360482467</v>
      </c>
      <c r="I3409" t="n">
        <v>0.0257070735997364</v>
      </c>
      <c r="J3409" t="n">
        <v>0.1041347041896605</v>
      </c>
      <c r="K3409" t="n">
        <v>0.3173866698399988</v>
      </c>
      <c r="L3409" t="b">
        <v>0</v>
      </c>
      <c r="M3409" t="b">
        <v>0</v>
      </c>
      <c r="N3409" t="inlineStr">
        <is>
          <t>ref</t>
        </is>
      </c>
      <c r="O3409" t="n">
        <v>100</v>
      </c>
      <c r="P3409" t="n">
        <v>0.00485</v>
      </c>
      <c r="Q3409" t="n">
        <v>35</v>
      </c>
      <c r="R3409" t="n">
        <v>0.04865</v>
      </c>
      <c r="S3409">
        <f>IMAGE("https://mitra.stanford.edu/kundaje/oak/projects/neuro-variants/variant_position/credible/roussos_2024/variant_figures/roussos_2024.childhood.Astrocyte/rs17455625_count_position.png",4,220,900)</f>
        <v/>
      </c>
      <c r="T3409">
        <f>IMAGE("https://mitra.stanford.edu/kundaje/oak/projects/neuro-variants/variant_position/credible/roussos_2024/variant_figures/roussos_2024.childhood.Astrocyte/rs17455625_profile_position.png",4,220,900)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0.01422173808</v>
      </c>
      <c r="G3410" t="n">
        <v>0.5793955375232694</v>
      </c>
      <c r="H3410" t="n">
        <v>0.009246043603347</v>
      </c>
      <c r="I3410" t="n">
        <v>0.7939362708519783</v>
      </c>
      <c r="J3410" t="n">
        <v>0.0027233938616778</v>
      </c>
      <c r="K3410" t="n">
        <v>0.8323825016431013</v>
      </c>
      <c r="L3410" t="b">
        <v>0</v>
      </c>
      <c r="M3410" t="b">
        <v>0</v>
      </c>
      <c r="N3410" t="inlineStr">
        <is>
          <t>alt</t>
        </is>
      </c>
      <c r="O3410" t="n">
        <v>80</v>
      </c>
      <c r="P3410" t="n">
        <v>0.006123</v>
      </c>
      <c r="Q3410" t="n">
        <v>80</v>
      </c>
      <c r="R3410" t="n">
        <v>0.002647</v>
      </c>
      <c r="S3410">
        <f>IMAGE("https://mitra.stanford.edu/kundaje/oak/projects/neuro-variants/variant_position/credible/roussos_2024/variant_figures/roussos_2024.childhood.Astrocyte/rs12657990_count_position.png",4,220,900)</f>
        <v/>
      </c>
      <c r="T3410">
        <f>IMAGE("https://mitra.stanford.edu/kundaje/oak/projects/neuro-variants/variant_position/credible/roussos_2024/variant_figures/roussos_2024.childhood.Astrocyte/rs12657990_profile_position.png",4,220,900)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0.0661776194</v>
      </c>
      <c r="G3411" t="n">
        <v>0.1632588469373127</v>
      </c>
      <c r="H3411" t="n">
        <v>0.0130554825956859</v>
      </c>
      <c r="I3411" t="n">
        <v>0.4248572505117581</v>
      </c>
      <c r="J3411" t="n">
        <v>0.008164838603802601</v>
      </c>
      <c r="K3411" t="n">
        <v>0.763818450707237</v>
      </c>
      <c r="L3411" t="b">
        <v>0</v>
      </c>
      <c r="M3411" t="b">
        <v>0</v>
      </c>
      <c r="N3411" t="inlineStr">
        <is>
          <t>alt</t>
        </is>
      </c>
      <c r="O3411" t="n">
        <v>-55</v>
      </c>
      <c r="P3411" t="n">
        <v>0.01199</v>
      </c>
      <c r="Q3411" t="n">
        <v>95</v>
      </c>
      <c r="R3411" t="n">
        <v>0.1874</v>
      </c>
      <c r="S3411">
        <f>IMAGE("https://mitra.stanford.edu/kundaje/oak/projects/neuro-variants/variant_position/credible/roussos_2024/variant_figures/roussos_2024.childhood.Astrocyte/rs77257050_count_position.png",4,220,900)</f>
        <v/>
      </c>
      <c r="T3411">
        <f>IMAGE("https://mitra.stanford.edu/kundaje/oak/projects/neuro-variants/variant_position/credible/roussos_2024/variant_figures/roussos_2024.childhood.Astrocyte/rs77257050_profile_position.png",4,220,900)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-0.0124886314</v>
      </c>
      <c r="G3412" t="n">
        <v>0.5919440425043835</v>
      </c>
      <c r="H3412" t="n">
        <v>0.0277381805234517</v>
      </c>
      <c r="I3412" t="n">
        <v>0.0399622230932352</v>
      </c>
      <c r="J3412" t="n">
        <v>0.0011823254180882</v>
      </c>
      <c r="K3412" t="n">
        <v>0.9061166529381304</v>
      </c>
      <c r="L3412" t="b">
        <v>0</v>
      </c>
      <c r="M3412" t="b">
        <v>0</v>
      </c>
      <c r="N3412" t="inlineStr">
        <is>
          <t>ref</t>
        </is>
      </c>
      <c r="O3412" t="n">
        <v>10</v>
      </c>
      <c r="P3412" t="n">
        <v>0.008070000000000001</v>
      </c>
      <c r="Q3412" t="n">
        <v>25</v>
      </c>
      <c r="R3412" t="n">
        <v>0.04266</v>
      </c>
      <c r="S3412">
        <f>IMAGE("https://mitra.stanford.edu/kundaje/oak/projects/neuro-variants/variant_position/credible/roussos_2024/variant_figures/roussos_2024.childhood.Astrocyte/rs4133347_count_position.png",4,220,900)</f>
        <v/>
      </c>
      <c r="T3412">
        <f>IMAGE("https://mitra.stanford.edu/kundaje/oak/projects/neuro-variants/variant_position/credible/roussos_2024/variant_figures/roussos_2024.childhood.Astrocyte/rs4133347_profile_position.png",4,220,900)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0.01540555605</v>
      </c>
      <c r="G3413" t="n">
        <v>0.5334259409631292</v>
      </c>
      <c r="H3413" t="n">
        <v>0.0151363630764326</v>
      </c>
      <c r="I3413" t="n">
        <v>0.2912594681077775</v>
      </c>
      <c r="J3413" t="n">
        <v>0.0393907474830741</v>
      </c>
      <c r="K3413" t="n">
        <v>0.5084316385441887</v>
      </c>
      <c r="L3413" t="b">
        <v>0</v>
      </c>
      <c r="M3413" t="b">
        <v>0</v>
      </c>
      <c r="N3413" t="inlineStr">
        <is>
          <t>alt</t>
        </is>
      </c>
      <c r="O3413" t="n">
        <v>80</v>
      </c>
      <c r="P3413" t="n">
        <v>0.02809</v>
      </c>
      <c r="Q3413" t="n">
        <v>80</v>
      </c>
      <c r="R3413" t="n">
        <v>0.1333</v>
      </c>
      <c r="S3413">
        <f>IMAGE("https://mitra.stanford.edu/kundaje/oak/projects/neuro-variants/variant_position/credible/roussos_2024/variant_figures/roussos_2024.childhood.Astrocyte/rs55737372_count_position.png",4,220,900)</f>
        <v/>
      </c>
      <c r="T3413">
        <f>IMAGE("https://mitra.stanford.edu/kundaje/oak/projects/neuro-variants/variant_position/credible/roussos_2024/variant_figures/roussos_2024.childhood.Astrocyte/rs55737372_profile_position.png",4,220,900)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-0.0492335326</v>
      </c>
      <c r="G3414" t="n">
        <v>0.2371594474929778</v>
      </c>
      <c r="H3414" t="n">
        <v>0.014353721023117</v>
      </c>
      <c r="I3414" t="n">
        <v>0.3150164093112623</v>
      </c>
      <c r="J3414" t="n">
        <v>0.0530313785654858</v>
      </c>
      <c r="K3414" t="n">
        <v>0.4348345016767142</v>
      </c>
      <c r="L3414" t="b">
        <v>0</v>
      </c>
      <c r="M3414" t="b">
        <v>0</v>
      </c>
      <c r="N3414" t="inlineStr">
        <is>
          <t>ref</t>
        </is>
      </c>
      <c r="O3414" t="n">
        <v>-50</v>
      </c>
      <c r="P3414" t="n">
        <v>0.002106</v>
      </c>
      <c r="Q3414" t="n">
        <v>-45</v>
      </c>
      <c r="R3414" t="n">
        <v>0.07825</v>
      </c>
      <c r="S3414">
        <f>IMAGE("https://mitra.stanford.edu/kundaje/oak/projects/neuro-variants/variant_position/credible/roussos_2024/variant_figures/roussos_2024.childhood.Astrocyte/rs11167589_count_position.png",4,220,900)</f>
        <v/>
      </c>
      <c r="T3414">
        <f>IMAGE("https://mitra.stanford.edu/kundaje/oak/projects/neuro-variants/variant_position/credible/roussos_2024/variant_figures/roussos_2024.childhood.Astrocyte/rs11167589_profile_position.png",4,220,900)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0.045950894</v>
      </c>
      <c r="G3415" t="n">
        <v>0.2355327822980072</v>
      </c>
      <c r="H3415" t="n">
        <v>0.0126452389354902</v>
      </c>
      <c r="I3415" t="n">
        <v>0.4569662279861436</v>
      </c>
      <c r="J3415" t="n">
        <v>0.0341019593475456</v>
      </c>
      <c r="K3415" t="n">
        <v>0.5075272644204801</v>
      </c>
      <c r="L3415" t="b">
        <v>0</v>
      </c>
      <c r="M3415" t="b">
        <v>0</v>
      </c>
      <c r="N3415" t="inlineStr">
        <is>
          <t>alt</t>
        </is>
      </c>
      <c r="O3415" t="n">
        <v>-100</v>
      </c>
      <c r="P3415" t="n">
        <v>0.004425</v>
      </c>
      <c r="Q3415" t="n">
        <v>-90</v>
      </c>
      <c r="R3415" t="n">
        <v>0.06494</v>
      </c>
      <c r="S3415">
        <f>IMAGE("https://mitra.stanford.edu/kundaje/oak/projects/neuro-variants/variant_position/credible/roussos_2024/variant_figures/roussos_2024.childhood.Astrocyte/rs72799143_count_position.png",4,220,900)</f>
        <v/>
      </c>
      <c r="T3415">
        <f>IMAGE("https://mitra.stanford.edu/kundaje/oak/projects/neuro-variants/variant_position/credible/roussos_2024/variant_figures/roussos_2024.childhood.Astrocyte/rs72799143_profile_position.png",4,220,900)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0.0297165316</v>
      </c>
      <c r="G3416" t="n">
        <v>0.3988873622731781</v>
      </c>
      <c r="H3416" t="n">
        <v>0.011158576946524</v>
      </c>
      <c r="I3416" t="n">
        <v>0.5928959522336222</v>
      </c>
      <c r="J3416" t="n">
        <v>0.0325273064505048</v>
      </c>
      <c r="K3416" t="n">
        <v>0.5256307742051642</v>
      </c>
      <c r="L3416" t="b">
        <v>0</v>
      </c>
      <c r="M3416" t="b">
        <v>0</v>
      </c>
      <c r="N3416" t="inlineStr">
        <is>
          <t>alt</t>
        </is>
      </c>
      <c r="O3416" t="n">
        <v>100</v>
      </c>
      <c r="P3416" t="n">
        <v>0.006313</v>
      </c>
      <c r="Q3416" t="n">
        <v>-65</v>
      </c>
      <c r="R3416" t="n">
        <v>0.1151</v>
      </c>
      <c r="S3416">
        <f>IMAGE("https://mitra.stanford.edu/kundaje/oak/projects/neuro-variants/variant_position/credible/roussos_2024/variant_figures/roussos_2024.childhood.Astrocyte/rs72799151_count_position.png",4,220,900)</f>
        <v/>
      </c>
      <c r="T3416">
        <f>IMAGE("https://mitra.stanford.edu/kundaje/oak/projects/neuro-variants/variant_position/credible/roussos_2024/variant_figures/roussos_2024.childhood.Astrocyte/rs72799151_profile_position.png",4,220,900)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0.00878126668</v>
      </c>
      <c r="G3417" t="n">
        <v>0.7508922955019819</v>
      </c>
      <c r="H3417" t="n">
        <v>0.0245316402486328</v>
      </c>
      <c r="I3417" t="n">
        <v>0.0632123195611121</v>
      </c>
      <c r="J3417" t="n">
        <v>0.000406829856579</v>
      </c>
      <c r="K3417" t="n">
        <v>0.9569425474986664</v>
      </c>
      <c r="L3417" t="b">
        <v>0</v>
      </c>
      <c r="M3417" t="b">
        <v>0</v>
      </c>
      <c r="N3417" t="inlineStr">
        <is>
          <t>alt</t>
        </is>
      </c>
      <c r="O3417" t="n">
        <v>-85</v>
      </c>
      <c r="P3417" t="n">
        <v>0.011536</v>
      </c>
      <c r="Q3417" t="n">
        <v>30</v>
      </c>
      <c r="R3417" t="n">
        <v>0.00474</v>
      </c>
      <c r="S3417">
        <f>IMAGE("https://mitra.stanford.edu/kundaje/oak/projects/neuro-variants/variant_position/credible/roussos_2024/variant_figures/roussos_2024.childhood.Astrocyte/rs72799160_count_position.png",4,220,900)</f>
        <v/>
      </c>
      <c r="T3417">
        <f>IMAGE("https://mitra.stanford.edu/kundaje/oak/projects/neuro-variants/variant_position/credible/roussos_2024/variant_figures/roussos_2024.childhood.Astrocyte/rs72799160_profile_position.png",4,220,900)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-0.026783212</v>
      </c>
      <c r="G3418" t="n">
        <v>0.4316236255731925</v>
      </c>
      <c r="H3418" t="n">
        <v>0.017524243551251</v>
      </c>
      <c r="I3418" t="n">
        <v>0.1883027268571172</v>
      </c>
      <c r="J3418" t="n">
        <v>0.0035500293863967</v>
      </c>
      <c r="K3418" t="n">
        <v>0.8205459070684711</v>
      </c>
      <c r="L3418" t="b">
        <v>0</v>
      </c>
      <c r="M3418" t="b">
        <v>0</v>
      </c>
      <c r="N3418" t="inlineStr">
        <is>
          <t>ref</t>
        </is>
      </c>
      <c r="O3418" t="n">
        <v>-20</v>
      </c>
      <c r="P3418" t="n">
        <v>0.0007973</v>
      </c>
      <c r="Q3418" t="n">
        <v>10</v>
      </c>
      <c r="R3418" t="n">
        <v>0.00421</v>
      </c>
      <c r="S3418">
        <f>IMAGE("https://mitra.stanford.edu/kundaje/oak/projects/neuro-variants/variant_position/credible/roussos_2024/variant_figures/roussos_2024.childhood.Astrocyte/rs56208248_count_position.png",4,220,900)</f>
        <v/>
      </c>
      <c r="T3418">
        <f>IMAGE("https://mitra.stanford.edu/kundaje/oak/projects/neuro-variants/variant_position/credible/roussos_2024/variant_figures/roussos_2024.childhood.Astrocyte/rs56208248_profile_position.png",4,220,900)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-0.0007261739799999</v>
      </c>
      <c r="G3419" t="n">
        <v>0.8674093642218439</v>
      </c>
      <c r="H3419" t="n">
        <v>0.0061165947945745</v>
      </c>
      <c r="I3419" t="n">
        <v>0.9897137608415294</v>
      </c>
      <c r="J3419" t="n">
        <v>0.0022287864563058</v>
      </c>
      <c r="K3419" t="n">
        <v>0.8650762794407004</v>
      </c>
      <c r="L3419" t="b">
        <v>0</v>
      </c>
      <c r="M3419" t="b">
        <v>0</v>
      </c>
      <c r="N3419" t="inlineStr">
        <is>
          <t>ref</t>
        </is>
      </c>
      <c r="O3419" t="n">
        <v>-100</v>
      </c>
      <c r="P3419" t="n">
        <v>0.02924</v>
      </c>
      <c r="Q3419" t="n">
        <v>-100</v>
      </c>
      <c r="R3419" t="n">
        <v>0.1039</v>
      </c>
      <c r="S3419">
        <f>IMAGE("https://mitra.stanford.edu/kundaje/oak/projects/neuro-variants/variant_position/credible/roussos_2024/variant_figures/roussos_2024.childhood.Astrocyte/rs56286804_count_position.png",4,220,900)</f>
        <v/>
      </c>
      <c r="T3419">
        <f>IMAGE("https://mitra.stanford.edu/kundaje/oak/projects/neuro-variants/variant_position/credible/roussos_2024/variant_figures/roussos_2024.childhood.Astrocyte/rs56286804_profile_position.png",4,220,900)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0.0389903858</v>
      </c>
      <c r="G3420" t="n">
        <v>0.2916503202166244</v>
      </c>
      <c r="H3420" t="n">
        <v>0.0094541998310812</v>
      </c>
      <c r="I3420" t="n">
        <v>0.7695001395031769</v>
      </c>
      <c r="J3420" t="n">
        <v>0.0030569485470906</v>
      </c>
      <c r="K3420" t="n">
        <v>0.8285335989308712</v>
      </c>
      <c r="L3420" t="b">
        <v>0</v>
      </c>
      <c r="M3420" t="b">
        <v>0</v>
      </c>
      <c r="N3420" t="inlineStr">
        <is>
          <t>alt</t>
        </is>
      </c>
      <c r="O3420" t="n">
        <v>-100</v>
      </c>
      <c r="P3420" t="n">
        <v>0.01199</v>
      </c>
      <c r="Q3420" t="n">
        <v>100</v>
      </c>
      <c r="R3420" t="n">
        <v>0.0634</v>
      </c>
      <c r="S3420">
        <f>IMAGE("https://mitra.stanford.edu/kundaje/oak/projects/neuro-variants/variant_position/credible/roussos_2024/variant_figures/roussos_2024.childhood.Astrocyte/rs72799178_count_position.png",4,220,900)</f>
        <v/>
      </c>
      <c r="T3420">
        <f>IMAGE("https://mitra.stanford.edu/kundaje/oak/projects/neuro-variants/variant_position/credible/roussos_2024/variant_figures/roussos_2024.childhood.Astrocyte/rs72799178_profile_position.png",4,220,900)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-0.0227657527</v>
      </c>
      <c r="G3421" t="n">
        <v>0.4903388587163786</v>
      </c>
      <c r="H3421" t="n">
        <v>0.0255250743978045</v>
      </c>
      <c r="I3421" t="n">
        <v>0.0552862239189986</v>
      </c>
      <c r="J3421" t="n">
        <v>0.0107309961606862</v>
      </c>
      <c r="K3421" t="n">
        <v>0.6964569075652973</v>
      </c>
      <c r="L3421" t="b">
        <v>0</v>
      </c>
      <c r="M3421" t="b">
        <v>0</v>
      </c>
      <c r="N3421" t="inlineStr">
        <is>
          <t>ref</t>
        </is>
      </c>
      <c r="O3421" t="n">
        <v>25</v>
      </c>
      <c r="P3421" t="n">
        <v>0.002106</v>
      </c>
      <c r="Q3421" t="n">
        <v>100</v>
      </c>
      <c r="R3421" t="n">
        <v>0.03925</v>
      </c>
      <c r="S3421">
        <f>IMAGE("https://mitra.stanford.edu/kundaje/oak/projects/neuro-variants/variant_position/credible/roussos_2024/variant_figures/roussos_2024.childhood.Astrocyte/rs111294930_count_position.png",4,220,900)</f>
        <v/>
      </c>
      <c r="T3421">
        <f>IMAGE("https://mitra.stanford.edu/kundaje/oak/projects/neuro-variants/variant_position/credible/roussos_2024/variant_figures/roussos_2024.childhood.Astrocyte/rs111294930_profile_position.png",4,220,900)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-0.01229897586</v>
      </c>
      <c r="G3422" t="n">
        <v>0.6594566790612062</v>
      </c>
      <c r="H3422" t="n">
        <v>0.0102162581919988</v>
      </c>
      <c r="I3422" t="n">
        <v>0.69777404749705</v>
      </c>
      <c r="J3422" t="n">
        <v>0.0198652042163754</v>
      </c>
      <c r="K3422" t="n">
        <v>0.6073005354300763</v>
      </c>
      <c r="L3422" t="b">
        <v>0</v>
      </c>
      <c r="M3422" t="b">
        <v>0</v>
      </c>
      <c r="N3422" t="inlineStr">
        <is>
          <t>ref</t>
        </is>
      </c>
      <c r="O3422" t="n">
        <v>70</v>
      </c>
      <c r="P3422" t="n">
        <v>0.002474</v>
      </c>
      <c r="Q3422" t="n">
        <v>-45</v>
      </c>
      <c r="R3422" t="n">
        <v>0.06560000000000001</v>
      </c>
      <c r="S3422">
        <f>IMAGE("https://mitra.stanford.edu/kundaje/oak/projects/neuro-variants/variant_position/credible/roussos_2024/variant_figures/roussos_2024.childhood.Astrocyte/rs55918828_count_position.png",4,220,900)</f>
        <v/>
      </c>
      <c r="T3422">
        <f>IMAGE("https://mitra.stanford.edu/kundaje/oak/projects/neuro-variants/variant_position/credible/roussos_2024/variant_figures/roussos_2024.childhood.Astrocyte/rs55918828_profile_position.png",4,220,900)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-0.0343733974</v>
      </c>
      <c r="G3423" t="n">
        <v>0.2496672990307487</v>
      </c>
      <c r="H3423" t="n">
        <v>0.0133928275670873</v>
      </c>
      <c r="I3423" t="n">
        <v>0.4041356303300413</v>
      </c>
      <c r="J3423" t="n">
        <v>0.0141695862242677</v>
      </c>
      <c r="K3423" t="n">
        <v>0.6661628767790833</v>
      </c>
      <c r="L3423" t="b">
        <v>0</v>
      </c>
      <c r="M3423" t="b">
        <v>0</v>
      </c>
      <c r="N3423" t="inlineStr">
        <is>
          <t>ref</t>
        </is>
      </c>
      <c r="O3423" t="n">
        <v>40</v>
      </c>
      <c r="P3423" t="n">
        <v>0.02019</v>
      </c>
      <c r="Q3423" t="n">
        <v>90</v>
      </c>
      <c r="R3423" t="n">
        <v>0.05432</v>
      </c>
      <c r="S3423">
        <f>IMAGE("https://mitra.stanford.edu/kundaje/oak/projects/neuro-variants/variant_position/credible/roussos_2024/variant_figures/roussos_2024.childhood.Astrocyte/rs55830548_count_position.png",4,220,900)</f>
        <v/>
      </c>
      <c r="T3423">
        <f>IMAGE("https://mitra.stanford.edu/kundaje/oak/projects/neuro-variants/variant_position/credible/roussos_2024/variant_figures/roussos_2024.childhood.Astrocyte/rs55830548_profile_position.png",4,220,900)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0.0130929274</v>
      </c>
      <c r="G3424" t="n">
        <v>0.6441272795015522</v>
      </c>
      <c r="H3424" t="n">
        <v>0.0224485917048072</v>
      </c>
      <c r="I3424" t="n">
        <v>0.0852097303439789</v>
      </c>
      <c r="J3424" t="n">
        <v>0.1319861387801209</v>
      </c>
      <c r="K3424" t="n">
        <v>0.2756090498388758</v>
      </c>
      <c r="L3424" t="b">
        <v>0</v>
      </c>
      <c r="M3424" t="b">
        <v>0</v>
      </c>
      <c r="N3424" t="inlineStr">
        <is>
          <t>alt</t>
        </is>
      </c>
      <c r="O3424" t="n">
        <v>10</v>
      </c>
      <c r="P3424" t="n">
        <v>0.00293</v>
      </c>
      <c r="Q3424" t="n">
        <v>65</v>
      </c>
      <c r="R3424" t="n">
        <v>0.08105</v>
      </c>
      <c r="S3424">
        <f>IMAGE("https://mitra.stanford.edu/kundaje/oak/projects/neuro-variants/variant_position/credible/roussos_2024/variant_figures/roussos_2024.childhood.Astrocyte/rs55829928_count_position.png",4,220,900)</f>
        <v/>
      </c>
      <c r="T3424">
        <f>IMAGE("https://mitra.stanford.edu/kundaje/oak/projects/neuro-variants/variant_position/credible/roussos_2024/variant_figures/roussos_2024.childhood.Astrocyte/rs55829928_profile_position.png",4,220,900)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0.181909252</v>
      </c>
      <c r="G3425" t="n">
        <v>0.0206393871174188</v>
      </c>
      <c r="H3425" t="n">
        <v>0.0260097182579484</v>
      </c>
      <c r="I3425" t="n">
        <v>0.0557491927035938</v>
      </c>
      <c r="J3425" t="n">
        <v>0.1516040392938105</v>
      </c>
      <c r="K3425" t="n">
        <v>0.2501509732022072</v>
      </c>
      <c r="L3425" t="b">
        <v>0</v>
      </c>
      <c r="M3425" t="b">
        <v>0</v>
      </c>
      <c r="N3425" t="inlineStr">
        <is>
          <t>alt</t>
        </is>
      </c>
      <c r="O3425" t="n">
        <v>-60</v>
      </c>
      <c r="P3425" t="n">
        <v>0.0108</v>
      </c>
      <c r="Q3425" t="n">
        <v>-70</v>
      </c>
      <c r="R3425" t="n">
        <v>0.1993</v>
      </c>
      <c r="S3425">
        <f>IMAGE("https://mitra.stanford.edu/kundaje/oak/projects/neuro-variants/variant_position/credible/roussos_2024/variant_figures/roussos_2024.childhood.Astrocyte/rs72799198_count_position.png",4,220,900)</f>
        <v/>
      </c>
      <c r="T3425">
        <f>IMAGE("https://mitra.stanford.edu/kundaje/oak/projects/neuro-variants/variant_position/credible/roussos_2024/variant_figures/roussos_2024.childhood.Astrocyte/rs72799198_profile_position.png",4,220,900)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-0.0397087564</v>
      </c>
      <c r="G3426" t="n">
        <v>0.1421437883146242</v>
      </c>
      <c r="H3426" t="n">
        <v>0.0181227651746878</v>
      </c>
      <c r="I3426" t="n">
        <v>0.1736379501311697</v>
      </c>
      <c r="J3426" t="n">
        <v>0.0535053773289673</v>
      </c>
      <c r="K3426" t="n">
        <v>0.4398867678726975</v>
      </c>
      <c r="L3426" t="b">
        <v>0</v>
      </c>
      <c r="M3426" t="b">
        <v>0</v>
      </c>
      <c r="N3426" t="inlineStr">
        <is>
          <t>ref</t>
        </is>
      </c>
      <c r="O3426" t="n">
        <v>30</v>
      </c>
      <c r="P3426" t="n">
        <v>0.00769</v>
      </c>
      <c r="Q3426" t="n">
        <v>-90</v>
      </c>
      <c r="R3426" t="n">
        <v>0.1765</v>
      </c>
      <c r="S3426">
        <f>IMAGE("https://mitra.stanford.edu/kundaje/oak/projects/neuro-variants/variant_position/credible/roussos_2024/variant_figures/roussos_2024.childhood.Astrocyte/rs72799201_count_position.png",4,220,900)</f>
        <v/>
      </c>
      <c r="T3426">
        <f>IMAGE("https://mitra.stanford.edu/kundaje/oak/projects/neuro-variants/variant_position/credible/roussos_2024/variant_figures/roussos_2024.childhood.Astrocyte/rs72799201_profile_position.png",4,220,900)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0.00630497408</v>
      </c>
      <c r="G3427" t="n">
        <v>0.4506930108033661</v>
      </c>
      <c r="H3427" t="n">
        <v>0.0242857530808222</v>
      </c>
      <c r="I3427" t="n">
        <v>0.0653604633961002</v>
      </c>
      <c r="J3427" t="n">
        <v>0.0426263042598825</v>
      </c>
      <c r="K3427" t="n">
        <v>0.4743935011009661</v>
      </c>
      <c r="L3427" t="b">
        <v>0</v>
      </c>
      <c r="M3427" t="b">
        <v>0</v>
      </c>
      <c r="N3427" t="inlineStr">
        <is>
          <t>alt</t>
        </is>
      </c>
      <c r="O3427" t="n">
        <v>65</v>
      </c>
      <c r="P3427" t="n">
        <v>0.00208</v>
      </c>
      <c r="Q3427" t="n">
        <v>-25</v>
      </c>
      <c r="R3427" t="n">
        <v>0.0368</v>
      </c>
      <c r="S3427">
        <f>IMAGE("https://mitra.stanford.edu/kundaje/oak/projects/neuro-variants/variant_position/credible/roussos_2024/variant_figures/roussos_2024.childhood.Astrocyte/rs115283145_count_position.png",4,220,900)</f>
        <v/>
      </c>
      <c r="T3427">
        <f>IMAGE("https://mitra.stanford.edu/kundaje/oak/projects/neuro-variants/variant_position/credible/roussos_2024/variant_figures/roussos_2024.childhood.Astrocyte/rs115283145_profile_position.png",4,220,900)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-0.017653608</v>
      </c>
      <c r="G3428" t="n">
        <v>0.561919501290692</v>
      </c>
      <c r="H3428" t="n">
        <v>0.0152882982522783</v>
      </c>
      <c r="I3428" t="n">
        <v>0.2827466367039789</v>
      </c>
      <c r="J3428" t="n">
        <v>0.00370192270996</v>
      </c>
      <c r="K3428" t="n">
        <v>0.8145723227105015</v>
      </c>
      <c r="L3428" t="b">
        <v>0</v>
      </c>
      <c r="M3428" t="b">
        <v>0</v>
      </c>
      <c r="N3428" t="inlineStr">
        <is>
          <t>ref</t>
        </is>
      </c>
      <c r="O3428" t="n">
        <v>100</v>
      </c>
      <c r="P3428" t="n">
        <v>0.02258</v>
      </c>
      <c r="Q3428" t="n">
        <v>100</v>
      </c>
      <c r="R3428" t="n">
        <v>0.1196</v>
      </c>
      <c r="S3428">
        <f>IMAGE("https://mitra.stanford.edu/kundaje/oak/projects/neuro-variants/variant_position/credible/roussos_2024/variant_figures/roussos_2024.childhood.Astrocyte/rs72802883_count_position.png",4,220,900)</f>
        <v/>
      </c>
      <c r="T3428">
        <f>IMAGE("https://mitra.stanford.edu/kundaje/oak/projects/neuro-variants/variant_position/credible/roussos_2024/variant_figures/roussos_2024.childhood.Astrocyte/rs72802883_profile_position.png",4,220,900)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0.0170573394</v>
      </c>
      <c r="G3429" t="n">
        <v>0.5783187565679935</v>
      </c>
      <c r="H3429" t="n">
        <v>0.0129680991206363</v>
      </c>
      <c r="I3429" t="n">
        <v>0.4302554000882613</v>
      </c>
      <c r="J3429" t="n">
        <v>0.0050552235274361</v>
      </c>
      <c r="K3429" t="n">
        <v>0.7722841771036071</v>
      </c>
      <c r="L3429" t="b">
        <v>0</v>
      </c>
      <c r="M3429" t="b">
        <v>0</v>
      </c>
      <c r="N3429" t="inlineStr">
        <is>
          <t>alt</t>
        </is>
      </c>
      <c r="O3429" t="n">
        <v>100</v>
      </c>
      <c r="P3429" t="n">
        <v>0.01227</v>
      </c>
      <c r="Q3429" t="n">
        <v>-50</v>
      </c>
      <c r="R3429" t="n">
        <v>0.0963</v>
      </c>
      <c r="S3429">
        <f>IMAGE("https://mitra.stanford.edu/kundaje/oak/projects/neuro-variants/variant_position/credible/roussos_2024/variant_figures/roussos_2024.childhood.Astrocyte/rs12153071_count_position.png",4,220,900)</f>
        <v/>
      </c>
      <c r="T3429">
        <f>IMAGE("https://mitra.stanford.edu/kundaje/oak/projects/neuro-variants/variant_position/credible/roussos_2024/variant_figures/roussos_2024.childhood.Astrocyte/rs12153071_profile_position.png",4,220,900)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0.004195870436</v>
      </c>
      <c r="G3430" t="n">
        <v>0.869094620801138</v>
      </c>
      <c r="H3430" t="n">
        <v>0.0174012106417175</v>
      </c>
      <c r="I3430" t="n">
        <v>0.1951516888143745</v>
      </c>
      <c r="J3430" t="n">
        <v>0.0004938441223389</v>
      </c>
      <c r="K3430" t="n">
        <v>0.9498534690249772</v>
      </c>
      <c r="L3430" t="b">
        <v>0</v>
      </c>
      <c r="M3430" t="b">
        <v>0</v>
      </c>
      <c r="N3430" t="inlineStr">
        <is>
          <t>alt</t>
        </is>
      </c>
      <c r="O3430" t="n">
        <v>-75</v>
      </c>
      <c r="P3430" t="n">
        <v>0.01312</v>
      </c>
      <c r="Q3430" t="n">
        <v>25</v>
      </c>
      <c r="R3430" t="n">
        <v>0.01494</v>
      </c>
      <c r="S3430">
        <f>IMAGE("https://mitra.stanford.edu/kundaje/oak/projects/neuro-variants/variant_position/credible/roussos_2024/variant_figures/roussos_2024.childhood.Astrocyte/rs4958587_count_position.png",4,220,900)</f>
        <v/>
      </c>
      <c r="T3430">
        <f>IMAGE("https://mitra.stanford.edu/kundaje/oak/projects/neuro-variants/variant_position/credible/roussos_2024/variant_figures/roussos_2024.childhood.Astrocyte/rs4958587_profile_position.png",4,220,900)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0.0220501038</v>
      </c>
      <c r="G3431" t="n">
        <v>0.4787891827712062</v>
      </c>
      <c r="H3431" t="n">
        <v>0.0323839229150615</v>
      </c>
      <c r="I3431" t="n">
        <v>0.0221024042016015</v>
      </c>
      <c r="J3431" t="n">
        <v>0.0284712204132413</v>
      </c>
      <c r="K3431" t="n">
        <v>0.5947237525679738</v>
      </c>
      <c r="L3431" t="b">
        <v>0</v>
      </c>
      <c r="M3431" t="b">
        <v>0</v>
      </c>
      <c r="N3431" t="inlineStr">
        <is>
          <t>alt</t>
        </is>
      </c>
      <c r="O3431" t="n">
        <v>85</v>
      </c>
      <c r="P3431" t="n">
        <v>0.01233</v>
      </c>
      <c r="Q3431" t="n">
        <v>-35</v>
      </c>
      <c r="R3431" t="n">
        <v>0.2384</v>
      </c>
      <c r="S3431">
        <f>IMAGE("https://mitra.stanford.edu/kundaje/oak/projects/neuro-variants/variant_position/credible/roussos_2024/variant_figures/roussos_2024.childhood.Astrocyte/rs72802890_count_position.png",4,220,900)</f>
        <v/>
      </c>
      <c r="T3431">
        <f>IMAGE("https://mitra.stanford.edu/kundaje/oak/projects/neuro-variants/variant_position/credible/roussos_2024/variant_figures/roussos_2024.childhood.Astrocyte/rs72802890_profile_position.png",4,220,900)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0.0238830223199999</v>
      </c>
      <c r="G3432" t="n">
        <v>0.4743287188619176</v>
      </c>
      <c r="H3432" t="n">
        <v>0.0083430674798478</v>
      </c>
      <c r="I3432" t="n">
        <v>0.8797028180727241</v>
      </c>
      <c r="J3432" t="n">
        <v>0.0243846030546586</v>
      </c>
      <c r="K3432" t="n">
        <v>0.5843333003959967</v>
      </c>
      <c r="L3432" t="b">
        <v>0</v>
      </c>
      <c r="M3432" t="b">
        <v>0</v>
      </c>
      <c r="N3432" t="inlineStr">
        <is>
          <t>alt</t>
        </is>
      </c>
      <c r="O3432" t="n">
        <v>-5</v>
      </c>
      <c r="P3432" t="n">
        <v>0.002869</v>
      </c>
      <c r="Q3432" t="n">
        <v>50</v>
      </c>
      <c r="R3432" t="n">
        <v>0.095</v>
      </c>
      <c r="S3432">
        <f>IMAGE("https://mitra.stanford.edu/kundaje/oak/projects/neuro-variants/variant_position/credible/roussos_2024/variant_figures/roussos_2024.childhood.Astrocyte/rs72802893_count_position.png",4,220,900)</f>
        <v/>
      </c>
      <c r="T3432">
        <f>IMAGE("https://mitra.stanford.edu/kundaje/oak/projects/neuro-variants/variant_position/credible/roussos_2024/variant_figures/roussos_2024.childhood.Astrocyte/rs72802893_profile_position.png",4,220,900)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-0.0066188831064</v>
      </c>
      <c r="G3433" t="n">
        <v>0.7627155673468002</v>
      </c>
      <c r="H3433" t="n">
        <v>0.0077641082644802</v>
      </c>
      <c r="I3433" t="n">
        <v>0.91485527339678</v>
      </c>
      <c r="J3433" t="n">
        <v>0.0068878660896246</v>
      </c>
      <c r="K3433" t="n">
        <v>0.7378160782481658</v>
      </c>
      <c r="L3433" t="b">
        <v>0</v>
      </c>
      <c r="M3433" t="b">
        <v>0</v>
      </c>
      <c r="N3433" t="inlineStr">
        <is>
          <t>ref</t>
        </is>
      </c>
      <c r="O3433" t="n">
        <v>-50</v>
      </c>
      <c r="P3433" t="n">
        <v>0.004936</v>
      </c>
      <c r="Q3433" t="n">
        <v>35</v>
      </c>
      <c r="R3433" t="n">
        <v>0.05618</v>
      </c>
      <c r="S3433">
        <f>IMAGE("https://mitra.stanford.edu/kundaje/oak/projects/neuro-variants/variant_position/credible/roussos_2024/variant_figures/roussos_2024.childhood.Astrocyte/rs9324737_count_position.png",4,220,900)</f>
        <v/>
      </c>
      <c r="T3433">
        <f>IMAGE("https://mitra.stanford.edu/kundaje/oak/projects/neuro-variants/variant_position/credible/roussos_2024/variant_figures/roussos_2024.childhood.Astrocyte/rs9324737_profile_position.png",4,220,900)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-0.007441978952</v>
      </c>
      <c r="G3434" t="n">
        <v>0.7907904405404615</v>
      </c>
      <c r="H3434" t="n">
        <v>0.0225354358601588</v>
      </c>
      <c r="I3434" t="n">
        <v>0.08441648278971101</v>
      </c>
      <c r="J3434" t="n">
        <v>0.005387251646783</v>
      </c>
      <c r="K3434" t="n">
        <v>0.7882896403706939</v>
      </c>
      <c r="L3434" t="b">
        <v>0</v>
      </c>
      <c r="M3434" t="b">
        <v>0</v>
      </c>
      <c r="N3434" t="inlineStr">
        <is>
          <t>ref</t>
        </is>
      </c>
      <c r="O3434" t="n">
        <v>100</v>
      </c>
      <c r="P3434" t="n">
        <v>0.035</v>
      </c>
      <c r="Q3434" t="n">
        <v>80</v>
      </c>
      <c r="R3434" t="n">
        <v>0.02762</v>
      </c>
      <c r="S3434">
        <f>IMAGE("https://mitra.stanford.edu/kundaje/oak/projects/neuro-variants/variant_position/credible/roussos_2024/variant_figures/roussos_2024.childhood.Astrocyte/rs11167604_count_position.png",4,220,900)</f>
        <v/>
      </c>
      <c r="T3434">
        <f>IMAGE("https://mitra.stanford.edu/kundaje/oak/projects/neuro-variants/variant_position/credible/roussos_2024/variant_figures/roussos_2024.childhood.Astrocyte/rs11167604_profile_position.png",4,220,900)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-0.0373642218</v>
      </c>
      <c r="G3435" t="n">
        <v>0.3118349400992017</v>
      </c>
      <c r="H3435" t="n">
        <v>0.0285667858836335</v>
      </c>
      <c r="I3435" t="n">
        <v>0.0365669635850576</v>
      </c>
      <c r="J3435" t="n">
        <v>0.0532260157388961</v>
      </c>
      <c r="K3435" t="n">
        <v>0.4356952482136002</v>
      </c>
      <c r="L3435" t="b">
        <v>0</v>
      </c>
      <c r="M3435" t="b">
        <v>0</v>
      </c>
      <c r="N3435" t="inlineStr">
        <is>
          <t>ref</t>
        </is>
      </c>
      <c r="O3435" t="n">
        <v>-10</v>
      </c>
      <c r="P3435" t="n">
        <v>0.001068</v>
      </c>
      <c r="Q3435" t="n">
        <v>50</v>
      </c>
      <c r="R3435" t="n">
        <v>0.05334</v>
      </c>
      <c r="S3435">
        <f>IMAGE("https://mitra.stanford.edu/kundaje/oak/projects/neuro-variants/variant_position/credible/roussos_2024/variant_figures/roussos_2024.childhood.Astrocyte/rs4463219_count_position.png",4,220,900)</f>
        <v/>
      </c>
      <c r="T3435">
        <f>IMAGE("https://mitra.stanford.edu/kundaje/oak/projects/neuro-variants/variant_position/credible/roussos_2024/variant_figures/roussos_2024.childhood.Astrocyte/rs4463219_profile_position.png",4,220,900)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0.0228079022</v>
      </c>
      <c r="G3436" t="n">
        <v>0.4684981391569957</v>
      </c>
      <c r="H3436" t="n">
        <v>0.009439727834037801</v>
      </c>
      <c r="I3436" t="n">
        <v>0.7686661191256686</v>
      </c>
      <c r="J3436" t="n">
        <v>0.0110073046186255</v>
      </c>
      <c r="K3436" t="n">
        <v>0.699129934357042</v>
      </c>
      <c r="L3436" t="b">
        <v>0</v>
      </c>
      <c r="M3436" t="b">
        <v>0</v>
      </c>
      <c r="N3436" t="inlineStr">
        <is>
          <t>alt</t>
        </is>
      </c>
      <c r="O3436" t="n">
        <v>-95</v>
      </c>
      <c r="P3436" t="n">
        <v>0.004364</v>
      </c>
      <c r="Q3436" t="n">
        <v>-70</v>
      </c>
      <c r="R3436" t="n">
        <v>0.07495</v>
      </c>
      <c r="S3436">
        <f>IMAGE("https://mitra.stanford.edu/kundaje/oak/projects/neuro-variants/variant_position/credible/roussos_2024/variant_figures/roussos_2024.childhood.Astrocyte/rs72804778_count_position.png",4,220,900)</f>
        <v/>
      </c>
      <c r="T3436">
        <f>IMAGE("https://mitra.stanford.edu/kundaje/oak/projects/neuro-variants/variant_position/credible/roussos_2024/variant_figures/roussos_2024.childhood.Astrocyte/rs72804778_profile_position.png",4,220,900)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0.00476108466</v>
      </c>
      <c r="G3437" t="n">
        <v>0.5075174007105768</v>
      </c>
      <c r="H3437" t="n">
        <v>0.0253205170084858</v>
      </c>
      <c r="I3437" t="n">
        <v>0.0576719664447784</v>
      </c>
      <c r="J3437" t="n">
        <v>0.0246242739270148</v>
      </c>
      <c r="K3437" t="n">
        <v>0.5599788235765908</v>
      </c>
      <c r="L3437" t="b">
        <v>0</v>
      </c>
      <c r="M3437" t="b">
        <v>0</v>
      </c>
      <c r="N3437" t="inlineStr">
        <is>
          <t>alt</t>
        </is>
      </c>
      <c r="O3437" t="n">
        <v>-100</v>
      </c>
      <c r="P3437" t="n">
        <v>0.003778</v>
      </c>
      <c r="Q3437" t="n">
        <v>-45</v>
      </c>
      <c r="R3437" t="n">
        <v>0.1312</v>
      </c>
      <c r="S3437">
        <f>IMAGE("https://mitra.stanford.edu/kundaje/oak/projects/neuro-variants/variant_position/credible/roussos_2024/variant_figures/roussos_2024.childhood.Astrocyte/rs72804781_count_position.png",4,220,900)</f>
        <v/>
      </c>
      <c r="T3437">
        <f>IMAGE("https://mitra.stanford.edu/kundaje/oak/projects/neuro-variants/variant_position/credible/roussos_2024/variant_figures/roussos_2024.childhood.Astrocyte/rs72804781_profile_position.png",4,220,900)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-0.00818092434</v>
      </c>
      <c r="G3438" t="n">
        <v>0.782632682424656</v>
      </c>
      <c r="H3438" t="n">
        <v>0.009599034482896</v>
      </c>
      <c r="I3438" t="n">
        <v>0.74289968168905</v>
      </c>
      <c r="J3438" t="n">
        <v>0.0654339645684015</v>
      </c>
      <c r="K3438" t="n">
        <v>0.4020866842999362</v>
      </c>
      <c r="L3438" t="b">
        <v>0</v>
      </c>
      <c r="M3438" t="b">
        <v>0</v>
      </c>
      <c r="N3438" t="inlineStr">
        <is>
          <t>ref</t>
        </is>
      </c>
      <c r="O3438" t="n">
        <v>100</v>
      </c>
      <c r="P3438" t="n">
        <v>0.03815</v>
      </c>
      <c r="Q3438" t="n">
        <v>100</v>
      </c>
      <c r="R3438" t="n">
        <v>0.4897</v>
      </c>
      <c r="S3438">
        <f>IMAGE("https://mitra.stanford.edu/kundaje/oak/projects/neuro-variants/variant_position/credible/roussos_2024/variant_figures/roussos_2024.childhood.Astrocyte/rs116618941_count_position.png",4,220,900)</f>
        <v/>
      </c>
      <c r="T3438">
        <f>IMAGE("https://mitra.stanford.edu/kundaje/oak/projects/neuro-variants/variant_position/credible/roussos_2024/variant_figures/roussos_2024.childhood.Astrocyte/rs116618941_profile_position.png",4,220,900)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-0.0154915158</v>
      </c>
      <c r="G3439" t="n">
        <v>0.2273397004194705</v>
      </c>
      <c r="H3439" t="n">
        <v>0.013148212581332</v>
      </c>
      <c r="I3439" t="n">
        <v>0.419322437541702</v>
      </c>
      <c r="J3439" t="n">
        <v>0.0424515124453298</v>
      </c>
      <c r="K3439" t="n">
        <v>0.4749334304462692</v>
      </c>
      <c r="L3439" t="b">
        <v>0</v>
      </c>
      <c r="M3439" t="b">
        <v>0</v>
      </c>
      <c r="N3439" t="inlineStr">
        <is>
          <t>ref</t>
        </is>
      </c>
      <c r="O3439" t="n">
        <v>60</v>
      </c>
      <c r="P3439" t="n">
        <v>0.0003052</v>
      </c>
      <c r="Q3439" t="n">
        <v>-10</v>
      </c>
      <c r="R3439" t="n">
        <v>0.02246</v>
      </c>
      <c r="S3439">
        <f>IMAGE("https://mitra.stanford.edu/kundaje/oak/projects/neuro-variants/variant_position/credible/roussos_2024/variant_figures/roussos_2024.childhood.Astrocyte/rs72804789_count_position.png",4,220,900)</f>
        <v/>
      </c>
      <c r="T3439">
        <f>IMAGE("https://mitra.stanford.edu/kundaje/oak/projects/neuro-variants/variant_position/credible/roussos_2024/variant_figures/roussos_2024.childhood.Astrocyte/rs72804789_profile_position.png",4,220,900)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-0.0397130131999999</v>
      </c>
      <c r="G3440" t="n">
        <v>0.2865717309174422</v>
      </c>
      <c r="H3440" t="n">
        <v>0.0329910731453902</v>
      </c>
      <c r="I3440" t="n">
        <v>0.0219083354644767</v>
      </c>
      <c r="J3440" t="n">
        <v>0.4335317869219084</v>
      </c>
      <c r="K3440" t="n">
        <v>0.073562504711512</v>
      </c>
      <c r="L3440" t="b">
        <v>0</v>
      </c>
      <c r="M3440" t="b">
        <v>0</v>
      </c>
      <c r="N3440" t="inlineStr">
        <is>
          <t>ref</t>
        </is>
      </c>
      <c r="O3440" t="n">
        <v>85</v>
      </c>
      <c r="P3440" t="n">
        <v>0.0454</v>
      </c>
      <c r="Q3440" t="n">
        <v>-85</v>
      </c>
      <c r="R3440" t="n">
        <v>0.2295</v>
      </c>
      <c r="S3440">
        <f>IMAGE("https://mitra.stanford.edu/kundaje/oak/projects/neuro-variants/variant_position/credible/roussos_2024/variant_figures/roussos_2024.childhood.Astrocyte/rs184754715_count_position.png",4,220,900)</f>
        <v/>
      </c>
      <c r="T3440">
        <f>IMAGE("https://mitra.stanford.edu/kundaje/oak/projects/neuro-variants/variant_position/credible/roussos_2024/variant_figures/roussos_2024.childhood.Astrocyte/rs184754715_profile_position.png",4,220,900)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0.03162211288</v>
      </c>
      <c r="G3441" t="n">
        <v>0.3583099650948264</v>
      </c>
      <c r="H3441" t="n">
        <v>0.0175452846191119</v>
      </c>
      <c r="I3441" t="n">
        <v>0.1894144960946705</v>
      </c>
      <c r="J3441" t="n">
        <v>0.0182676528283452</v>
      </c>
      <c r="K3441" t="n">
        <v>0.6068659252341178</v>
      </c>
      <c r="L3441" t="b">
        <v>0</v>
      </c>
      <c r="M3441" t="b">
        <v>0</v>
      </c>
      <c r="N3441" t="inlineStr">
        <is>
          <t>alt</t>
        </is>
      </c>
      <c r="O3441" t="n">
        <v>-30</v>
      </c>
      <c r="P3441" t="n">
        <v>0.01004</v>
      </c>
      <c r="Q3441" t="n">
        <v>40</v>
      </c>
      <c r="R3441" t="n">
        <v>0.04492</v>
      </c>
      <c r="S3441">
        <f>IMAGE("https://mitra.stanford.edu/kundaje/oak/projects/neuro-variants/variant_position/credible/roussos_2024/variant_figures/roussos_2024.childhood.Astrocyte/rs75040818_count_position.png",4,220,900)</f>
        <v/>
      </c>
      <c r="T3441">
        <f>IMAGE("https://mitra.stanford.edu/kundaje/oak/projects/neuro-variants/variant_position/credible/roussos_2024/variant_figures/roussos_2024.childhood.Astrocyte/rs75040818_profile_position.png",4,220,900)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-0.369571412</v>
      </c>
      <c r="G3442" t="n">
        <v>0.0035015632897591</v>
      </c>
      <c r="H3442" t="n">
        <v>0.0275817178899356</v>
      </c>
      <c r="I3442" t="n">
        <v>0.0434273917495577</v>
      </c>
      <c r="J3442" t="n">
        <v>0.1581316357918679</v>
      </c>
      <c r="K3442" t="n">
        <v>0.2453135661966853</v>
      </c>
      <c r="L3442" t="b">
        <v>1</v>
      </c>
      <c r="M3442" t="b">
        <v>1</v>
      </c>
      <c r="N3442" t="inlineStr">
        <is>
          <t>ref</t>
        </is>
      </c>
      <c r="O3442" t="n">
        <v>-90</v>
      </c>
      <c r="P3442" t="n">
        <v>0.01227</v>
      </c>
      <c r="Q3442" t="n">
        <v>65</v>
      </c>
      <c r="R3442" t="n">
        <v>0.062</v>
      </c>
      <c r="S3442">
        <f>IMAGE("https://mitra.stanford.edu/kundaje/oak/projects/neuro-variants/variant_position/credible/roussos_2024/variant_figures/roussos_2024.childhood.Astrocyte/rs73802032_count_position.png",4,220,900)</f>
        <v/>
      </c>
      <c r="T3442">
        <f>IMAGE("https://mitra.stanford.edu/kundaje/oak/projects/neuro-variants/variant_position/credible/roussos_2024/variant_figures/roussos_2024.childhood.Astrocyte/rs73802032_profile_position.png",4,220,900)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0.0038667161399999</v>
      </c>
      <c r="G3443" t="n">
        <v>0.7968721909487942</v>
      </c>
      <c r="H3443" t="n">
        <v>0.0232022549846419</v>
      </c>
      <c r="I3443" t="n">
        <v>0.07581247707590651</v>
      </c>
      <c r="J3443" t="n">
        <v>0.0205178112095745</v>
      </c>
      <c r="K3443" t="n">
        <v>0.5876611628362184</v>
      </c>
      <c r="L3443" t="b">
        <v>0</v>
      </c>
      <c r="M3443" t="b">
        <v>0</v>
      </c>
      <c r="N3443" t="inlineStr">
        <is>
          <t>alt</t>
        </is>
      </c>
      <c r="O3443" t="n">
        <v>-15</v>
      </c>
      <c r="P3443" t="n">
        <v>0.0047</v>
      </c>
      <c r="Q3443" t="n">
        <v>-10</v>
      </c>
      <c r="R3443" t="n">
        <v>0.03235</v>
      </c>
      <c r="S3443">
        <f>IMAGE("https://mitra.stanford.edu/kundaje/oak/projects/neuro-variants/variant_position/credible/roussos_2024/variant_figures/roussos_2024.childhood.Astrocyte/rs6868545_count_position.png",4,220,900)</f>
        <v/>
      </c>
      <c r="T3443">
        <f>IMAGE("https://mitra.stanford.edu/kundaje/oak/projects/neuro-variants/variant_position/credible/roussos_2024/variant_figures/roussos_2024.childhood.Astrocyte/rs6868545_profile_position.png",4,220,900)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-0.03863826244</v>
      </c>
      <c r="G3444" t="n">
        <v>0.2913950715069999</v>
      </c>
      <c r="H3444" t="n">
        <v>0.0096640956336605</v>
      </c>
      <c r="I3444" t="n">
        <v>0.7484913553846602</v>
      </c>
      <c r="J3444" t="n">
        <v>0.0069443490340652</v>
      </c>
      <c r="K3444" t="n">
        <v>0.7540701937326008</v>
      </c>
      <c r="L3444" t="b">
        <v>0</v>
      </c>
      <c r="M3444" t="b">
        <v>0</v>
      </c>
      <c r="N3444" t="inlineStr">
        <is>
          <t>ref</t>
        </is>
      </c>
      <c r="O3444" t="n">
        <v>-10</v>
      </c>
      <c r="P3444" t="n">
        <v>0.000702</v>
      </c>
      <c r="Q3444" t="n">
        <v>100</v>
      </c>
      <c r="R3444" t="n">
        <v>0.0794</v>
      </c>
      <c r="S3444">
        <f>IMAGE("https://mitra.stanford.edu/kundaje/oak/projects/neuro-variants/variant_position/credible/roussos_2024/variant_figures/roussos_2024.childhood.Astrocyte/rs2118792_count_position.png",4,220,900)</f>
        <v/>
      </c>
      <c r="T3444">
        <f>IMAGE("https://mitra.stanford.edu/kundaje/oak/projects/neuro-variants/variant_position/credible/roussos_2024/variant_figures/roussos_2024.childhood.Astrocyte/rs2118792_profile_position.png",4,220,900)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-0.00278095548</v>
      </c>
      <c r="G3445" t="n">
        <v>0.7702288730488511</v>
      </c>
      <c r="H3445" t="n">
        <v>0.0100853974561086</v>
      </c>
      <c r="I3445" t="n">
        <v>0.7009545191367432</v>
      </c>
      <c r="J3445" t="n">
        <v>0.0863883736728415</v>
      </c>
      <c r="K3445" t="n">
        <v>0.3501641378500399</v>
      </c>
      <c r="L3445" t="b">
        <v>0</v>
      </c>
      <c r="M3445" t="b">
        <v>0</v>
      </c>
      <c r="N3445" t="inlineStr">
        <is>
          <t>ref</t>
        </is>
      </c>
      <c r="O3445" t="n">
        <v>30</v>
      </c>
      <c r="P3445" t="n">
        <v>0.003002</v>
      </c>
      <c r="Q3445" t="n">
        <v>100</v>
      </c>
      <c r="R3445" t="n">
        <v>0.0548</v>
      </c>
      <c r="S3445">
        <f>IMAGE("https://mitra.stanford.edu/kundaje/oak/projects/neuro-variants/variant_position/credible/roussos_2024/variant_figures/roussos_2024.childhood.Astrocyte/rs2962809_count_position.png",4,220,900)</f>
        <v/>
      </c>
      <c r="T3445">
        <f>IMAGE("https://mitra.stanford.edu/kundaje/oak/projects/neuro-variants/variant_position/credible/roussos_2024/variant_figures/roussos_2024.childhood.Astrocyte/rs2962809_profile_position.png",4,220,900)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-0.009681964507999999</v>
      </c>
      <c r="G3446" t="n">
        <v>0.7400683281668459</v>
      </c>
      <c r="H3446" t="n">
        <v>0.0075299101822231</v>
      </c>
      <c r="I3446" t="n">
        <v>0.9319021003002712</v>
      </c>
      <c r="J3446" t="n">
        <v>0.0008945677146542001</v>
      </c>
      <c r="K3446" t="n">
        <v>0.9272185348072772</v>
      </c>
      <c r="L3446" t="b">
        <v>0</v>
      </c>
      <c r="M3446" t="b">
        <v>0</v>
      </c>
      <c r="N3446" t="inlineStr">
        <is>
          <t>ref</t>
        </is>
      </c>
      <c r="O3446" t="n">
        <v>35</v>
      </c>
      <c r="P3446" t="n">
        <v>0.001347</v>
      </c>
      <c r="Q3446" t="n">
        <v>100</v>
      </c>
      <c r="R3446" t="n">
        <v>0.0944</v>
      </c>
      <c r="S3446">
        <f>IMAGE("https://mitra.stanford.edu/kundaje/oak/projects/neuro-variants/variant_position/credible/roussos_2024/variant_figures/roussos_2024.childhood.Astrocyte/rs2973157_count_position.png",4,220,900)</f>
        <v/>
      </c>
      <c r="T3446">
        <f>IMAGE("https://mitra.stanford.edu/kundaje/oak/projects/neuro-variants/variant_position/credible/roussos_2024/variant_figures/roussos_2024.childhood.Astrocyte/rs2973157_profile_position.png",4,220,900)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0.178754568</v>
      </c>
      <c r="G3447" t="n">
        <v>0.0204646566354279</v>
      </c>
      <c r="H3447" t="n">
        <v>0.0376914838765541</v>
      </c>
      <c r="I3447" t="n">
        <v>0.0127665209338559</v>
      </c>
      <c r="J3447" t="n">
        <v>0.0389388839275491</v>
      </c>
      <c r="K3447" t="n">
        <v>0.4848578420762784</v>
      </c>
      <c r="L3447" t="b">
        <v>1</v>
      </c>
      <c r="M3447" t="b">
        <v>0</v>
      </c>
      <c r="N3447" t="inlineStr">
        <is>
          <t>alt</t>
        </is>
      </c>
      <c r="O3447" t="n">
        <v>100</v>
      </c>
      <c r="P3447" t="n">
        <v>0.008149999999999999</v>
      </c>
      <c r="Q3447" t="n">
        <v>-40</v>
      </c>
      <c r="R3447" t="n">
        <v>0.0475</v>
      </c>
      <c r="S3447">
        <f>IMAGE("https://mitra.stanford.edu/kundaje/oak/projects/neuro-variants/variant_position/credible/roussos_2024/variant_figures/roussos_2024.childhood.Astrocyte/rs2910030_count_position.png",4,220,900)</f>
        <v/>
      </c>
      <c r="T3447">
        <f>IMAGE("https://mitra.stanford.edu/kundaje/oak/projects/neuro-variants/variant_position/credible/roussos_2024/variant_figures/roussos_2024.childhood.Astrocyte/rs2910030_profile_position.png",4,220,900)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-0.1199645429999999</v>
      </c>
      <c r="G3448" t="n">
        <v>0.0508456821502847</v>
      </c>
      <c r="H3448" t="n">
        <v>0.0125507996875098</v>
      </c>
      <c r="I3448" t="n">
        <v>0.4649902112418852</v>
      </c>
      <c r="J3448" t="n">
        <v>0.0010380649248547</v>
      </c>
      <c r="K3448" t="n">
        <v>0.9027375112052628</v>
      </c>
      <c r="L3448" t="b">
        <v>0</v>
      </c>
      <c r="M3448" t="b">
        <v>0</v>
      </c>
      <c r="N3448" t="inlineStr">
        <is>
          <t>ref</t>
        </is>
      </c>
      <c r="O3448" t="n">
        <v>65</v>
      </c>
      <c r="P3448" t="n">
        <v>0.01285</v>
      </c>
      <c r="Q3448" t="n">
        <v>85</v>
      </c>
      <c r="R3448" t="n">
        <v>0.07086000000000001</v>
      </c>
      <c r="S3448">
        <f>IMAGE("https://mitra.stanford.edu/kundaje/oak/projects/neuro-variants/variant_position/credible/roussos_2024/variant_figures/roussos_2024.childhood.Astrocyte/rs2910032_count_position.png",4,220,900)</f>
        <v/>
      </c>
      <c r="T3448">
        <f>IMAGE("https://mitra.stanford.edu/kundaje/oak/projects/neuro-variants/variant_position/credible/roussos_2024/variant_figures/roussos_2024.childhood.Astrocyte/rs2910032_profile_position.png",4,220,900)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0.0277966898</v>
      </c>
      <c r="G3449" t="n">
        <v>0.4111478184160568</v>
      </c>
      <c r="H3449" t="n">
        <v>0.0136793201915535</v>
      </c>
      <c r="I3449" t="n">
        <v>0.3830209839732417</v>
      </c>
      <c r="J3449" t="n">
        <v>0.0033057788158426</v>
      </c>
      <c r="K3449" t="n">
        <v>0.8119688371305572</v>
      </c>
      <c r="L3449" t="b">
        <v>0</v>
      </c>
      <c r="M3449" t="b">
        <v>0</v>
      </c>
      <c r="N3449" t="inlineStr">
        <is>
          <t>alt</t>
        </is>
      </c>
      <c r="O3449" t="n">
        <v>-75</v>
      </c>
      <c r="P3449" t="n">
        <v>0.001999</v>
      </c>
      <c r="Q3449" t="n">
        <v>-85</v>
      </c>
      <c r="R3449" t="n">
        <v>0.005127</v>
      </c>
      <c r="S3449">
        <f>IMAGE("https://mitra.stanford.edu/kundaje/oak/projects/neuro-variants/variant_position/credible/roussos_2024/variant_figures/roussos_2024.childhood.Astrocyte/rs2973138_count_position.png",4,220,900)</f>
        <v/>
      </c>
      <c r="T3449">
        <f>IMAGE("https://mitra.stanford.edu/kundaje/oak/projects/neuro-variants/variant_position/credible/roussos_2024/variant_figures/roussos_2024.childhood.Astrocyte/rs2973138_profile_position.png",4,220,900)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0.0951520939999999</v>
      </c>
      <c r="G3450" t="n">
        <v>0.0763989428606987</v>
      </c>
      <c r="H3450" t="n">
        <v>0.0191143463894204</v>
      </c>
      <c r="I3450" t="n">
        <v>0.1525254828974878</v>
      </c>
      <c r="J3450" t="n">
        <v>0.0088121026157709</v>
      </c>
      <c r="K3450" t="n">
        <v>0.7018630212728192</v>
      </c>
      <c r="L3450" t="b">
        <v>0</v>
      </c>
      <c r="M3450" t="b">
        <v>0</v>
      </c>
      <c r="N3450" t="inlineStr">
        <is>
          <t>alt</t>
        </is>
      </c>
      <c r="O3450" t="n">
        <v>10</v>
      </c>
      <c r="P3450" t="n">
        <v>0.0004996999999999999</v>
      </c>
      <c r="Q3450" t="n">
        <v>-90</v>
      </c>
      <c r="R3450" t="n">
        <v>0.02016</v>
      </c>
      <c r="S3450">
        <f>IMAGE("https://mitra.stanford.edu/kundaje/oak/projects/neuro-variants/variant_position/credible/roussos_2024/variant_figures/roussos_2024.childhood.Astrocyte/rs2962826_count_position.png",4,220,900)</f>
        <v/>
      </c>
      <c r="T3450">
        <f>IMAGE("https://mitra.stanford.edu/kundaje/oak/projects/neuro-variants/variant_position/credible/roussos_2024/variant_figures/roussos_2024.childhood.Astrocyte/rs2962826_profile_position.png",4,220,900)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0.0284031283999999</v>
      </c>
      <c r="G3451" t="n">
        <v>0.4050234731485335</v>
      </c>
      <c r="H3451" t="n">
        <v>0.0420480810000743</v>
      </c>
      <c r="I3451" t="n">
        <v>0.007967163330322701</v>
      </c>
      <c r="J3451" t="n">
        <v>0.0012930014578705</v>
      </c>
      <c r="K3451" t="n">
        <v>0.9036636579960386</v>
      </c>
      <c r="L3451" t="b">
        <v>0</v>
      </c>
      <c r="M3451" t="b">
        <v>0</v>
      </c>
      <c r="N3451" t="inlineStr">
        <is>
          <t>alt</t>
        </is>
      </c>
      <c r="O3451" t="n">
        <v>-100</v>
      </c>
      <c r="P3451" t="n">
        <v>0.001373</v>
      </c>
      <c r="Q3451" t="n">
        <v>-95</v>
      </c>
      <c r="R3451" t="n">
        <v>0.1334</v>
      </c>
      <c r="S3451">
        <f>IMAGE("https://mitra.stanford.edu/kundaje/oak/projects/neuro-variants/variant_position/credible/roussos_2024/variant_figures/roussos_2024.childhood.Astrocyte/rs55827458_count_position.png",4,220,900)</f>
        <v/>
      </c>
      <c r="T3451">
        <f>IMAGE("https://mitra.stanford.edu/kundaje/oak/projects/neuro-variants/variant_position/credible/roussos_2024/variant_figures/roussos_2024.childhood.Astrocyte/rs55827458_profile_position.png",4,220,900)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-0.002520149</v>
      </c>
      <c r="G3452" t="n">
        <v>0.5966838137031349</v>
      </c>
      <c r="H3452" t="n">
        <v>0.0297744026225466</v>
      </c>
      <c r="I3452" t="n">
        <v>0.0309665503794461</v>
      </c>
      <c r="J3452" t="n">
        <v>0.0044903940830298</v>
      </c>
      <c r="K3452" t="n">
        <v>0.8038619102591955</v>
      </c>
      <c r="L3452" t="b">
        <v>0</v>
      </c>
      <c r="M3452" t="b">
        <v>0</v>
      </c>
      <c r="N3452" t="inlineStr">
        <is>
          <t>ref</t>
        </is>
      </c>
      <c r="O3452" t="n">
        <v>45</v>
      </c>
      <c r="P3452" t="n">
        <v>0.01099</v>
      </c>
      <c r="Q3452" t="n">
        <v>-45</v>
      </c>
      <c r="R3452" t="n">
        <v>0.01526</v>
      </c>
      <c r="S3452">
        <f>IMAGE("https://mitra.stanford.edu/kundaje/oak/projects/neuro-variants/variant_position/credible/roussos_2024/variant_figures/roussos_2024.childhood.Astrocyte/rs7717923_count_position.png",4,220,900)</f>
        <v/>
      </c>
      <c r="T3452">
        <f>IMAGE("https://mitra.stanford.edu/kundaje/oak/projects/neuro-variants/variant_position/credible/roussos_2024/variant_figures/roussos_2024.childhood.Astrocyte/rs7717923_profile_position.png",4,220,900)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0.0226679762</v>
      </c>
      <c r="G3453" t="n">
        <v>0.4699317703955738</v>
      </c>
      <c r="H3453" t="n">
        <v>0.0116959603102721</v>
      </c>
      <c r="I3453" t="n">
        <v>0.5446859986092939</v>
      </c>
      <c r="J3453" t="n">
        <v>0.0076061154236602</v>
      </c>
      <c r="K3453" t="n">
        <v>0.7247186409166906</v>
      </c>
      <c r="L3453" t="b">
        <v>0</v>
      </c>
      <c r="M3453" t="b">
        <v>0</v>
      </c>
      <c r="N3453" t="inlineStr">
        <is>
          <t>alt</t>
        </is>
      </c>
      <c r="O3453" t="n">
        <v>-15</v>
      </c>
      <c r="P3453" t="n">
        <v>0.01043</v>
      </c>
      <c r="Q3453" t="n">
        <v>-40</v>
      </c>
      <c r="R3453" t="n">
        <v>0.0589</v>
      </c>
      <c r="S3453">
        <f>IMAGE("https://mitra.stanford.edu/kundaje/oak/projects/neuro-variants/variant_position/credible/roussos_2024/variant_figures/roussos_2024.childhood.Astrocyte/rs1870861_count_position.png",4,220,900)</f>
        <v/>
      </c>
      <c r="T3453">
        <f>IMAGE("https://mitra.stanford.edu/kundaje/oak/projects/neuro-variants/variant_position/credible/roussos_2024/variant_figures/roussos_2024.childhood.Astrocyte/rs1870861_profile_position.png",4,220,900)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-0.0511667952</v>
      </c>
      <c r="G3454" t="n">
        <v>0.2147110207095111</v>
      </c>
      <c r="H3454" t="n">
        <v>0.013838978314959</v>
      </c>
      <c r="I3454" t="n">
        <v>0.3689164753075958</v>
      </c>
      <c r="J3454" t="n">
        <v>0.0132971537175699</v>
      </c>
      <c r="K3454" t="n">
        <v>0.6499595320582311</v>
      </c>
      <c r="L3454" t="b">
        <v>0</v>
      </c>
      <c r="M3454" t="b">
        <v>0</v>
      </c>
      <c r="N3454" t="inlineStr">
        <is>
          <t>ref</t>
        </is>
      </c>
      <c r="O3454" t="n">
        <v>-80</v>
      </c>
      <c r="P3454" t="n">
        <v>0.01054</v>
      </c>
      <c r="Q3454" t="n">
        <v>-15</v>
      </c>
      <c r="R3454" t="n">
        <v>0.03644</v>
      </c>
      <c r="S3454">
        <f>IMAGE("https://mitra.stanford.edu/kundaje/oak/projects/neuro-variants/variant_position/credible/roussos_2024/variant_figures/roussos_2024.childhood.Astrocyte/rs1462120_count_position.png",4,220,900)</f>
        <v/>
      </c>
      <c r="T3454">
        <f>IMAGE("https://mitra.stanford.edu/kundaje/oak/projects/neuro-variants/variant_position/credible/roussos_2024/variant_figures/roussos_2024.childhood.Astrocyte/rs1462120_profile_position.png",4,220,900)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-0.0067700856</v>
      </c>
      <c r="G3455" t="n">
        <v>0.7095439737751886</v>
      </c>
      <c r="H3455" t="n">
        <v>0.0136173875124592</v>
      </c>
      <c r="I3455" t="n">
        <v>0.3865705479436004</v>
      </c>
      <c r="J3455" t="n">
        <v>0.0004121728378099</v>
      </c>
      <c r="K3455" t="n">
        <v>0.9462196572507992</v>
      </c>
      <c r="L3455" t="b">
        <v>0</v>
      </c>
      <c r="M3455" t="b">
        <v>0</v>
      </c>
      <c r="N3455" t="inlineStr">
        <is>
          <t>ref</t>
        </is>
      </c>
      <c r="O3455" t="n">
        <v>100</v>
      </c>
      <c r="P3455" t="n">
        <v>0.024</v>
      </c>
      <c r="Q3455" t="n">
        <v>-100</v>
      </c>
      <c r="R3455" t="n">
        <v>0.1748</v>
      </c>
      <c r="S3455">
        <f>IMAGE("https://mitra.stanford.edu/kundaje/oak/projects/neuro-variants/variant_position/credible/roussos_2024/variant_figures/roussos_2024.childhood.Astrocyte/rs3112532_count_position.png",4,220,900)</f>
        <v/>
      </c>
      <c r="T3455">
        <f>IMAGE("https://mitra.stanford.edu/kundaje/oak/projects/neuro-variants/variant_position/credible/roussos_2024/variant_figures/roussos_2024.childhood.Astrocyte/rs3112532_profile_position.png",4,220,900)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-0.095490992</v>
      </c>
      <c r="G3456" t="n">
        <v>0.08454450640884061</v>
      </c>
      <c r="H3456" t="n">
        <v>0.017178302153802</v>
      </c>
      <c r="I3456" t="n">
        <v>0.2070331988010413</v>
      </c>
      <c r="J3456" t="n">
        <v>0.0052010105867356</v>
      </c>
      <c r="K3456" t="n">
        <v>0.7667022088980592</v>
      </c>
      <c r="L3456" t="b">
        <v>0</v>
      </c>
      <c r="M3456" t="b">
        <v>0</v>
      </c>
      <c r="N3456" t="inlineStr">
        <is>
          <t>ref</t>
        </is>
      </c>
      <c r="O3456" t="n">
        <v>100</v>
      </c>
      <c r="P3456" t="n">
        <v>0.007694</v>
      </c>
      <c r="Q3456" t="n">
        <v>55</v>
      </c>
      <c r="R3456" t="n">
        <v>0.1284</v>
      </c>
      <c r="S3456">
        <f>IMAGE("https://mitra.stanford.edu/kundaje/oak/projects/neuro-variants/variant_position/credible/roussos_2024/variant_figures/roussos_2024.childhood.Astrocyte/rs296175_count_position.png",4,220,900)</f>
        <v/>
      </c>
      <c r="T3456">
        <f>IMAGE("https://mitra.stanford.edu/kundaje/oak/projects/neuro-variants/variant_position/credible/roussos_2024/variant_figures/roussos_2024.childhood.Astrocyte/rs296175_profile_position.png",4,220,900)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0.09369890439999989</v>
      </c>
      <c r="G3457" t="n">
        <v>0.0839523925590667</v>
      </c>
      <c r="H3457" t="n">
        <v>0.0134775515480335</v>
      </c>
      <c r="I3457" t="n">
        <v>0.3902173466441113</v>
      </c>
      <c r="J3457" t="n">
        <v>0.0501118209643317</v>
      </c>
      <c r="K3457" t="n">
        <v>0.4676825092634508</v>
      </c>
      <c r="L3457" t="b">
        <v>0</v>
      </c>
      <c r="M3457" t="b">
        <v>0</v>
      </c>
      <c r="N3457" t="inlineStr">
        <is>
          <t>alt</t>
        </is>
      </c>
      <c r="O3457" t="n">
        <v>45</v>
      </c>
      <c r="P3457" t="n">
        <v>0.01061</v>
      </c>
      <c r="Q3457" t="n">
        <v>-100</v>
      </c>
      <c r="R3457" t="n">
        <v>0.04224</v>
      </c>
      <c r="S3457">
        <f>IMAGE("https://mitra.stanford.edu/kundaje/oak/projects/neuro-variants/variant_position/credible/roussos_2024/variant_figures/roussos_2024.childhood.Astrocyte/rs2546328_count_position.png",4,220,900)</f>
        <v/>
      </c>
      <c r="T3457">
        <f>IMAGE("https://mitra.stanford.edu/kundaje/oak/projects/neuro-variants/variant_position/credible/roussos_2024/variant_figures/roussos_2024.childhood.Astrocyte/rs2546328_profile_position.png",4,220,900)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0.072661353554</v>
      </c>
      <c r="G3458" t="n">
        <v>0.1508818807399274</v>
      </c>
      <c r="H3458" t="n">
        <v>0.0125859293472107</v>
      </c>
      <c r="I3458" t="n">
        <v>0.4603668809719661</v>
      </c>
      <c r="J3458" t="n">
        <v>0.0298955065527848</v>
      </c>
      <c r="K3458" t="n">
        <v>0.5312911194902492</v>
      </c>
      <c r="L3458" t="b">
        <v>0</v>
      </c>
      <c r="M3458" t="b">
        <v>0</v>
      </c>
      <c r="N3458" t="inlineStr">
        <is>
          <t>alt</t>
        </is>
      </c>
      <c r="O3458" t="n">
        <v>-40</v>
      </c>
      <c r="P3458" t="n">
        <v>0.0008698</v>
      </c>
      <c r="Q3458" t="n">
        <v>-90</v>
      </c>
      <c r="R3458" t="n">
        <v>0.10596</v>
      </c>
      <c r="S3458">
        <f>IMAGE("https://mitra.stanford.edu/kundaje/oak/projects/neuro-variants/variant_position/credible/roussos_2024/variant_figures/roussos_2024.childhood.Astrocyte/rs2349576_count_position.png",4,220,900)</f>
        <v/>
      </c>
      <c r="T3458">
        <f>IMAGE("https://mitra.stanford.edu/kundaje/oak/projects/neuro-variants/variant_position/credible/roussos_2024/variant_figures/roussos_2024.childhood.Astrocyte/rs2349576_profile_position.png",4,220,900)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0.0216632266</v>
      </c>
      <c r="G3459" t="n">
        <v>0.396113859233783</v>
      </c>
      <c r="H3459" t="n">
        <v>0.0165847705249145</v>
      </c>
      <c r="I3459" t="n">
        <v>0.2338961339571291</v>
      </c>
      <c r="J3459" t="n">
        <v>0.0170731148817292</v>
      </c>
      <c r="K3459" t="n">
        <v>0.6237000488376963</v>
      </c>
      <c r="L3459" t="b">
        <v>0</v>
      </c>
      <c r="M3459" t="b">
        <v>0</v>
      </c>
      <c r="N3459" t="inlineStr">
        <is>
          <t>alt</t>
        </is>
      </c>
      <c r="O3459" t="n">
        <v>-80</v>
      </c>
      <c r="P3459" t="n">
        <v>0.00766</v>
      </c>
      <c r="Q3459" t="n">
        <v>30</v>
      </c>
      <c r="R3459" t="n">
        <v>0.07434</v>
      </c>
      <c r="S3459">
        <f>IMAGE("https://mitra.stanford.edu/kundaje/oak/projects/neuro-variants/variant_position/credible/roussos_2024/variant_figures/roussos_2024.childhood.Astrocyte/rs2926288_count_position.png",4,220,900)</f>
        <v/>
      </c>
      <c r="T3459">
        <f>IMAGE("https://mitra.stanford.edu/kundaje/oak/projects/neuro-variants/variant_position/credible/roussos_2024/variant_figures/roussos_2024.childhood.Astrocyte/rs2926288_profile_position.png",4,220,900)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-0.0679412168</v>
      </c>
      <c r="G3460" t="n">
        <v>0.1395360053277138</v>
      </c>
      <c r="H3460" t="n">
        <v>0.0111562177715453</v>
      </c>
      <c r="I3460" t="n">
        <v>0.5960864385662971</v>
      </c>
      <c r="J3460" t="n">
        <v>0.0026073748406646</v>
      </c>
      <c r="K3460" t="n">
        <v>0.8443875265423481</v>
      </c>
      <c r="L3460" t="b">
        <v>0</v>
      </c>
      <c r="M3460" t="b">
        <v>0</v>
      </c>
      <c r="N3460" t="inlineStr">
        <is>
          <t>ref</t>
        </is>
      </c>
      <c r="O3460" t="n">
        <v>-90</v>
      </c>
      <c r="P3460" t="n">
        <v>0.0027</v>
      </c>
      <c r="Q3460" t="n">
        <v>-10</v>
      </c>
      <c r="R3460" t="n">
        <v>0.01569</v>
      </c>
      <c r="S3460">
        <f>IMAGE("https://mitra.stanford.edu/kundaje/oak/projects/neuro-variants/variant_position/credible/roussos_2024/variant_figures/roussos_2024.childhood.Astrocyte/rs2964817_count_position.png",4,220,900)</f>
        <v/>
      </c>
      <c r="T3460">
        <f>IMAGE("https://mitra.stanford.edu/kundaje/oak/projects/neuro-variants/variant_position/credible/roussos_2024/variant_figures/roussos_2024.childhood.Astrocyte/rs2964817_profile_position.png",4,220,900)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0.0778409626999999</v>
      </c>
      <c r="G3461" t="n">
        <v>0.1210472407130141</v>
      </c>
      <c r="H3461" t="n">
        <v>0.0134116451811404</v>
      </c>
      <c r="I3461" t="n">
        <v>0.4017083354071003</v>
      </c>
      <c r="J3461" t="n">
        <v>0.2127498797829222</v>
      </c>
      <c r="K3461" t="n">
        <v>0.1900100658353886</v>
      </c>
      <c r="L3461" t="b">
        <v>0</v>
      </c>
      <c r="M3461" t="b">
        <v>0</v>
      </c>
      <c r="N3461" t="inlineStr">
        <is>
          <t>alt</t>
        </is>
      </c>
      <c r="O3461" t="n">
        <v>100</v>
      </c>
      <c r="P3461" t="n">
        <v>0.014175</v>
      </c>
      <c r="Q3461" t="n">
        <v>-40</v>
      </c>
      <c r="R3461" t="n">
        <v>0.10254</v>
      </c>
      <c r="S3461">
        <f>IMAGE("https://mitra.stanford.edu/kundaje/oak/projects/neuro-variants/variant_position/credible/roussos_2024/variant_figures/roussos_2024.childhood.Astrocyte/rs2199123_count_position.png",4,220,900)</f>
        <v/>
      </c>
      <c r="T3461">
        <f>IMAGE("https://mitra.stanford.edu/kundaje/oak/projects/neuro-variants/variant_position/credible/roussos_2024/variant_figures/roussos_2024.childhood.Astrocyte/rs2199123_profile_position.png",4,220,900)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-0.31128655</v>
      </c>
      <c r="G3462" t="n">
        <v>0.0052535976776532</v>
      </c>
      <c r="H3462" t="n">
        <v>0.0434257031203118</v>
      </c>
      <c r="I3462" t="n">
        <v>0.0074301002377203</v>
      </c>
      <c r="J3462" t="n">
        <v>0.0364017311259187</v>
      </c>
      <c r="K3462" t="n">
        <v>0.5178267254943627</v>
      </c>
      <c r="L3462" t="b">
        <v>1</v>
      </c>
      <c r="M3462" t="b">
        <v>1</v>
      </c>
      <c r="N3462" t="inlineStr">
        <is>
          <t>ref</t>
        </is>
      </c>
      <c r="O3462" t="n">
        <v>-55</v>
      </c>
      <c r="P3462" t="n">
        <v>0.00435</v>
      </c>
      <c r="Q3462" t="n">
        <v>-85</v>
      </c>
      <c r="R3462" t="n">
        <v>0.1873</v>
      </c>
      <c r="S3462">
        <f>IMAGE("https://mitra.stanford.edu/kundaje/oak/projects/neuro-variants/variant_position/credible/roussos_2024/variant_figures/roussos_2024.childhood.Astrocyte/rs17504622_count_position.png",4,220,900)</f>
        <v/>
      </c>
      <c r="T3462">
        <f>IMAGE("https://mitra.stanford.edu/kundaje/oak/projects/neuro-variants/variant_position/credible/roussos_2024/variant_figures/roussos_2024.childhood.Astrocyte/rs17504622_profile_position.png",4,220,900)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0.08173036359999999</v>
      </c>
      <c r="G3463" t="n">
        <v>0.1076725670055113</v>
      </c>
      <c r="H3463" t="n">
        <v>0.0201664069723931</v>
      </c>
      <c r="I3463" t="n">
        <v>0.1375153795200157</v>
      </c>
      <c r="J3463" t="n">
        <v>0.0567798615404578</v>
      </c>
      <c r="K3463" t="n">
        <v>0.4508072065228691</v>
      </c>
      <c r="L3463" t="b">
        <v>0</v>
      </c>
      <c r="M3463" t="b">
        <v>0</v>
      </c>
      <c r="N3463" t="inlineStr">
        <is>
          <t>alt</t>
        </is>
      </c>
      <c r="O3463" t="n">
        <v>-60</v>
      </c>
      <c r="P3463" t="n">
        <v>0.012794</v>
      </c>
      <c r="Q3463" t="n">
        <v>-65</v>
      </c>
      <c r="R3463" t="n">
        <v>0.2078</v>
      </c>
      <c r="S3463">
        <f>IMAGE("https://mitra.stanford.edu/kundaje/oak/projects/neuro-variants/variant_position/credible/roussos_2024/variant_figures/roussos_2024.childhood.Astrocyte/rs308267_count_position.png",4,220,900)</f>
        <v/>
      </c>
      <c r="T3463">
        <f>IMAGE("https://mitra.stanford.edu/kundaje/oak/projects/neuro-variants/variant_position/credible/roussos_2024/variant_figures/roussos_2024.childhood.Astrocyte/rs308267_profile_position.png",4,220,900)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0.0151939663199999</v>
      </c>
      <c r="G3464" t="n">
        <v>0.6117727779982529</v>
      </c>
      <c r="H3464" t="n">
        <v>0.0151463175021353</v>
      </c>
      <c r="I3464" t="n">
        <v>0.287842357883621</v>
      </c>
      <c r="J3464" t="n">
        <v>0.0009991374901726</v>
      </c>
      <c r="K3464" t="n">
        <v>0.9041377587645708</v>
      </c>
      <c r="L3464" t="b">
        <v>0</v>
      </c>
      <c r="M3464" t="b">
        <v>0</v>
      </c>
      <c r="N3464" t="inlineStr">
        <is>
          <t>alt</t>
        </is>
      </c>
      <c r="O3464" t="n">
        <v>60</v>
      </c>
      <c r="P3464" t="n">
        <v>0.003052</v>
      </c>
      <c r="Q3464" t="n">
        <v>-15</v>
      </c>
      <c r="R3464" t="n">
        <v>0.01575</v>
      </c>
      <c r="S3464">
        <f>IMAGE("https://mitra.stanford.edu/kundaje/oak/projects/neuro-variants/variant_position/credible/roussos_2024/variant_figures/roussos_2024.childhood.Astrocyte/rs2609671_count_position.png",4,220,900)</f>
        <v/>
      </c>
      <c r="T3464">
        <f>IMAGE("https://mitra.stanford.edu/kundaje/oak/projects/neuro-variants/variant_position/credible/roussos_2024/variant_figures/roussos_2024.childhood.Astrocyte/rs2609671_profile_position.png",4,220,900)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0.0476468568</v>
      </c>
      <c r="G3465" t="n">
        <v>0.224563071483047</v>
      </c>
      <c r="H3465" t="n">
        <v>0.010401907178222</v>
      </c>
      <c r="I3465" t="n">
        <v>0.6521174192680901</v>
      </c>
      <c r="J3465" t="n">
        <v>0.07221420775037581</v>
      </c>
      <c r="K3465" t="n">
        <v>0.3996279610793679</v>
      </c>
      <c r="L3465" t="b">
        <v>0</v>
      </c>
      <c r="M3465" t="b">
        <v>0</v>
      </c>
      <c r="N3465" t="inlineStr">
        <is>
          <t>alt</t>
        </is>
      </c>
      <c r="O3465" t="n">
        <v>25</v>
      </c>
      <c r="P3465" t="n">
        <v>0.002337</v>
      </c>
      <c r="Q3465" t="n">
        <v>-65</v>
      </c>
      <c r="R3465" t="n">
        <v>0.08875</v>
      </c>
      <c r="S3465">
        <f>IMAGE("https://mitra.stanford.edu/kundaje/oak/projects/neuro-variants/variant_position/credible/roussos_2024/variant_figures/roussos_2024.childhood.Astrocyte/rs300325_count_position.png",4,220,900)</f>
        <v/>
      </c>
      <c r="T3465">
        <f>IMAGE("https://mitra.stanford.edu/kundaje/oak/projects/neuro-variants/variant_position/credible/roussos_2024/variant_figures/roussos_2024.childhood.Astrocyte/rs300325_profile_position.png",4,220,900)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-0.0446757352</v>
      </c>
      <c r="G3466" t="n">
        <v>0.2590401502524799</v>
      </c>
      <c r="H3466" t="n">
        <v>0.0125198676852535</v>
      </c>
      <c r="I3466" t="n">
        <v>0.4669869327730228</v>
      </c>
      <c r="J3466" t="n">
        <v>0.0020081976597741</v>
      </c>
      <c r="K3466" t="n">
        <v>0.8776102004336134</v>
      </c>
      <c r="L3466" t="b">
        <v>0</v>
      </c>
      <c r="M3466" t="b">
        <v>0</v>
      </c>
      <c r="N3466" t="inlineStr">
        <is>
          <t>ref</t>
        </is>
      </c>
      <c r="O3466" t="n">
        <v>60</v>
      </c>
      <c r="P3466" t="n">
        <v>0.00254</v>
      </c>
      <c r="Q3466" t="n">
        <v>-85</v>
      </c>
      <c r="R3466" t="n">
        <v>0.01746</v>
      </c>
      <c r="S3466">
        <f>IMAGE("https://mitra.stanford.edu/kundaje/oak/projects/neuro-variants/variant_position/credible/roussos_2024/variant_figures/roussos_2024.childhood.Astrocyte/rs2617267_count_position.png",4,220,900)</f>
        <v/>
      </c>
      <c r="T3466">
        <f>IMAGE("https://mitra.stanford.edu/kundaje/oak/projects/neuro-variants/variant_position/credible/roussos_2024/variant_figures/roussos_2024.childhood.Astrocyte/rs2617267_profile_position.png",4,220,900)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0.0248817042</v>
      </c>
      <c r="G3467" t="n">
        <v>0.4331103984208603</v>
      </c>
      <c r="H3467" t="n">
        <v>0.0136220375870732</v>
      </c>
      <c r="I3467" t="n">
        <v>0.3905165800472567</v>
      </c>
      <c r="J3467" t="n">
        <v>0.0094387579858486</v>
      </c>
      <c r="K3467" t="n">
        <v>0.7205605913823107</v>
      </c>
      <c r="L3467" t="b">
        <v>0</v>
      </c>
      <c r="M3467" t="b">
        <v>0</v>
      </c>
      <c r="N3467" t="inlineStr">
        <is>
          <t>alt</t>
        </is>
      </c>
      <c r="O3467" t="n">
        <v>100</v>
      </c>
      <c r="P3467" t="n">
        <v>0.007076</v>
      </c>
      <c r="Q3467" t="n">
        <v>90</v>
      </c>
      <c r="R3467" t="n">
        <v>0.0848</v>
      </c>
      <c r="S3467">
        <f>IMAGE("https://mitra.stanford.edu/kundaje/oak/projects/neuro-variants/variant_position/credible/roussos_2024/variant_figures/roussos_2024.childhood.Astrocyte/rs2964819_count_position.png",4,220,900)</f>
        <v/>
      </c>
      <c r="T3467">
        <f>IMAGE("https://mitra.stanford.edu/kundaje/oak/projects/neuro-variants/variant_position/credible/roussos_2024/variant_figures/roussos_2024.childhood.Astrocyte/rs2964819_profile_position.png",4,220,900)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0.0879609744</v>
      </c>
      <c r="G3468" t="n">
        <v>0.1049077547661376</v>
      </c>
      <c r="H3468" t="n">
        <v>0.0300273406947313</v>
      </c>
      <c r="I3468" t="n">
        <v>0.0306339431748393</v>
      </c>
      <c r="J3468" t="n">
        <v>0.0250776640486058</v>
      </c>
      <c r="K3468" t="n">
        <v>0.5719525366806499</v>
      </c>
      <c r="L3468" t="b">
        <v>0</v>
      </c>
      <c r="M3468" t="b">
        <v>0</v>
      </c>
      <c r="N3468" t="inlineStr">
        <is>
          <t>alt</t>
        </is>
      </c>
      <c r="O3468" t="n">
        <v>-10</v>
      </c>
      <c r="P3468" t="n">
        <v>0.001648</v>
      </c>
      <c r="Q3468" t="n">
        <v>95</v>
      </c>
      <c r="R3468" t="n">
        <v>0.0537</v>
      </c>
      <c r="S3468">
        <f>IMAGE("https://mitra.stanford.edu/kundaje/oak/projects/neuro-variants/variant_position/credible/roussos_2024/variant_figures/roussos_2024.childhood.Astrocyte/rs2560245_count_position.png",4,220,900)</f>
        <v/>
      </c>
      <c r="T3468">
        <f>IMAGE("https://mitra.stanford.edu/kundaje/oak/projects/neuro-variants/variant_position/credible/roussos_2024/variant_figures/roussos_2024.childhood.Astrocyte/rs2560245_profile_position.png",4,220,900)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0.0517888</v>
      </c>
      <c r="G3469" t="n">
        <v>0.2203613091146535</v>
      </c>
      <c r="H3469" t="n">
        <v>0.0115235002086144</v>
      </c>
      <c r="I3469" t="n">
        <v>0.5645259946935761</v>
      </c>
      <c r="J3469" t="n">
        <v>0.0455931854090815</v>
      </c>
      <c r="K3469" t="n">
        <v>0.4614924426988191</v>
      </c>
      <c r="L3469" t="b">
        <v>0</v>
      </c>
      <c r="M3469" t="b">
        <v>0</v>
      </c>
      <c r="N3469" t="inlineStr">
        <is>
          <t>alt</t>
        </is>
      </c>
      <c r="O3469" t="n">
        <v>-40</v>
      </c>
      <c r="P3469" t="n">
        <v>0.002354</v>
      </c>
      <c r="Q3469" t="n">
        <v>80</v>
      </c>
      <c r="R3469" t="n">
        <v>0.05518</v>
      </c>
      <c r="S3469">
        <f>IMAGE("https://mitra.stanford.edu/kundaje/oak/projects/neuro-variants/variant_position/credible/roussos_2024/variant_figures/roussos_2024.childhood.Astrocyte/rs2446429_count_position.png",4,220,900)</f>
        <v/>
      </c>
      <c r="T3469">
        <f>IMAGE("https://mitra.stanford.edu/kundaje/oak/projects/neuro-variants/variant_position/credible/roussos_2024/variant_figures/roussos_2024.childhood.Astrocyte/rs2446429_profile_position.png",4,220,900)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-0.0360036755999999</v>
      </c>
      <c r="G3470" t="n">
        <v>0.343622954602335</v>
      </c>
      <c r="H3470" t="n">
        <v>0.0103879157926863</v>
      </c>
      <c r="I3470" t="n">
        <v>0.6752674301496939</v>
      </c>
      <c r="J3470" t="n">
        <v>0.0411859891766465</v>
      </c>
      <c r="K3470" t="n">
        <v>0.4823802331652803</v>
      </c>
      <c r="L3470" t="b">
        <v>0</v>
      </c>
      <c r="M3470" t="b">
        <v>0</v>
      </c>
      <c r="N3470" t="inlineStr">
        <is>
          <t>ref</t>
        </is>
      </c>
      <c r="O3470" t="n">
        <v>-100</v>
      </c>
      <c r="P3470" t="n">
        <v>0.003952</v>
      </c>
      <c r="Q3470" t="n">
        <v>30</v>
      </c>
      <c r="R3470" t="n">
        <v>0.03406</v>
      </c>
      <c r="S3470">
        <f>IMAGE("https://mitra.stanford.edu/kundaje/oak/projects/neuro-variants/variant_position/credible/roussos_2024/variant_figures/roussos_2024.childhood.Astrocyte/rs2560247_count_position.png",4,220,900)</f>
        <v/>
      </c>
      <c r="T3470">
        <f>IMAGE("https://mitra.stanford.edu/kundaje/oak/projects/neuro-variants/variant_position/credible/roussos_2024/variant_figures/roussos_2024.childhood.Astrocyte/rs2560247_profile_position.png",4,220,900)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-0.01378879884</v>
      </c>
      <c r="G3471" t="n">
        <v>0.6340664753230674</v>
      </c>
      <c r="H3471" t="n">
        <v>0.0132353851171284</v>
      </c>
      <c r="I3471" t="n">
        <v>0.4061434910959065</v>
      </c>
      <c r="J3471" t="n">
        <v>0.0051712425484493</v>
      </c>
      <c r="K3471" t="n">
        <v>0.8310372522591899</v>
      </c>
      <c r="L3471" t="b">
        <v>0</v>
      </c>
      <c r="M3471" t="b">
        <v>0</v>
      </c>
      <c r="N3471" t="inlineStr">
        <is>
          <t>ref</t>
        </is>
      </c>
      <c r="O3471" t="n">
        <v>60</v>
      </c>
      <c r="P3471" t="n">
        <v>0.008059999999999999</v>
      </c>
      <c r="Q3471" t="n">
        <v>-55</v>
      </c>
      <c r="R3471" t="n">
        <v>0.1285</v>
      </c>
      <c r="S3471">
        <f>IMAGE("https://mitra.stanford.edu/kundaje/oak/projects/neuro-variants/variant_position/credible/roussos_2024/variant_figures/roussos_2024.childhood.Astrocyte/rs170027_count_position.png",4,220,900)</f>
        <v/>
      </c>
      <c r="T3471">
        <f>IMAGE("https://mitra.stanford.edu/kundaje/oak/projects/neuro-variants/variant_position/credible/roussos_2024/variant_figures/roussos_2024.childhood.Astrocyte/rs170027_profile_position.png",4,220,900)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-1.03483622</v>
      </c>
      <c r="G3472" t="n">
        <v>4.254205033967548e-05</v>
      </c>
      <c r="H3472" t="n">
        <v>0.2091555938324124</v>
      </c>
      <c r="I3472" t="n">
        <v>3.093308792276873e-05</v>
      </c>
      <c r="J3472" t="n">
        <v>0.1405753627502613</v>
      </c>
      <c r="K3472" t="n">
        <v>0.2670215290413625</v>
      </c>
      <c r="L3472" t="b">
        <v>1</v>
      </c>
      <c r="M3472" t="b">
        <v>1</v>
      </c>
      <c r="N3472" t="inlineStr">
        <is>
          <t>ref</t>
        </is>
      </c>
      <c r="O3472" t="n">
        <v>40</v>
      </c>
      <c r="P3472" t="n">
        <v>0.0007324</v>
      </c>
      <c r="Q3472" t="n">
        <v>100</v>
      </c>
      <c r="R3472" t="n">
        <v>0.1206</v>
      </c>
      <c r="S3472">
        <f>IMAGE("https://mitra.stanford.edu/kundaje/oak/projects/neuro-variants/variant_position/credible/roussos_2024/variant_figures/roussos_2024.childhood.Astrocyte/rs304859_count_position.png",4,220,900)</f>
        <v/>
      </c>
      <c r="T3472">
        <f>IMAGE("https://mitra.stanford.edu/kundaje/oak/projects/neuro-variants/variant_position/credible/roussos_2024/variant_figures/roussos_2024.childhood.Astrocyte/rs304859_profile_position.png",4,220,900)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-0.0765652882</v>
      </c>
      <c r="G3473" t="n">
        <v>0.1146065327994509</v>
      </c>
      <c r="H3473" t="n">
        <v>0.0119495479562048</v>
      </c>
      <c r="I3473" t="n">
        <v>0.5163526329510308</v>
      </c>
      <c r="J3473" t="n">
        <v>0.0040110523383175</v>
      </c>
      <c r="K3473" t="n">
        <v>0.8063339100835649</v>
      </c>
      <c r="L3473" t="b">
        <v>0</v>
      </c>
      <c r="M3473" t="b">
        <v>0</v>
      </c>
      <c r="N3473" t="inlineStr">
        <is>
          <t>ref</t>
        </is>
      </c>
      <c r="O3473" t="n">
        <v>-100</v>
      </c>
      <c r="P3473" t="n">
        <v>0.00882</v>
      </c>
      <c r="Q3473" t="n">
        <v>100</v>
      </c>
      <c r="R3473" t="n">
        <v>0.1437</v>
      </c>
      <c r="S3473">
        <f>IMAGE("https://mitra.stanford.edu/kundaje/oak/projects/neuro-variants/variant_position/credible/roussos_2024/variant_figures/roussos_2024.childhood.Astrocyte/rs35407853_count_position.png",4,220,900)</f>
        <v/>
      </c>
      <c r="T3473">
        <f>IMAGE("https://mitra.stanford.edu/kundaje/oak/projects/neuro-variants/variant_position/credible/roussos_2024/variant_figures/roussos_2024.childhood.Astrocyte/rs35407853_profile_position.png",4,220,900)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0.0911375718</v>
      </c>
      <c r="G3474" t="n">
        <v>0.08300235718373269</v>
      </c>
      <c r="H3474" t="n">
        <v>0.0124659652918234</v>
      </c>
      <c r="I3474" t="n">
        <v>0.4753328445389018</v>
      </c>
      <c r="J3474" t="n">
        <v>0.0068351995603489</v>
      </c>
      <c r="K3474" t="n">
        <v>0.7459520834189398</v>
      </c>
      <c r="L3474" t="b">
        <v>0</v>
      </c>
      <c r="M3474" t="b">
        <v>0</v>
      </c>
      <c r="N3474" t="inlineStr">
        <is>
          <t>alt</t>
        </is>
      </c>
      <c r="O3474" t="n">
        <v>75</v>
      </c>
      <c r="P3474" t="n">
        <v>0.007275</v>
      </c>
      <c r="Q3474" t="n">
        <v>35</v>
      </c>
      <c r="R3474" t="n">
        <v>0.06555</v>
      </c>
      <c r="S3474">
        <f>IMAGE("https://mitra.stanford.edu/kundaje/oak/projects/neuro-variants/variant_position/credible/roussos_2024/variant_figures/roussos_2024.childhood.Astrocyte/rs304863_count_position.png",4,220,900)</f>
        <v/>
      </c>
      <c r="T3474">
        <f>IMAGE("https://mitra.stanford.edu/kundaje/oak/projects/neuro-variants/variant_position/credible/roussos_2024/variant_figures/roussos_2024.childhood.Astrocyte/rs304863_profile_position.png",4,220,900)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0.0297332305999999</v>
      </c>
      <c r="G3475" t="n">
        <v>0.3179469644813145</v>
      </c>
      <c r="H3475" t="n">
        <v>0.0146700228124495</v>
      </c>
      <c r="I3475" t="n">
        <v>0.3195270412542479</v>
      </c>
      <c r="J3475" t="n">
        <v>0.0085480066863593</v>
      </c>
      <c r="K3475" t="n">
        <v>0.7126288941428094</v>
      </c>
      <c r="L3475" t="b">
        <v>0</v>
      </c>
      <c r="M3475" t="b">
        <v>0</v>
      </c>
      <c r="N3475" t="inlineStr">
        <is>
          <t>alt</t>
        </is>
      </c>
      <c r="O3475" t="n">
        <v>-90</v>
      </c>
      <c r="P3475" t="n">
        <v>0.08484</v>
      </c>
      <c r="Q3475" t="n">
        <v>-50</v>
      </c>
      <c r="R3475" t="n">
        <v>0.1383</v>
      </c>
      <c r="S3475">
        <f>IMAGE("https://mitra.stanford.edu/kundaje/oak/projects/neuro-variants/variant_position/credible/roussos_2024/variant_figures/roussos_2024.childhood.Astrocyte/rs304864_count_position.png",4,220,900)</f>
        <v/>
      </c>
      <c r="T3475">
        <f>IMAGE("https://mitra.stanford.edu/kundaje/oak/projects/neuro-variants/variant_position/credible/roussos_2024/variant_figures/roussos_2024.childhood.Astrocyte/rs304864_profile_position.png",4,220,900)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0.106708862</v>
      </c>
      <c r="G3476" t="n">
        <v>0.06509865810688691</v>
      </c>
      <c r="H3476" t="n">
        <v>0.0250779010470525</v>
      </c>
      <c r="I3476" t="n">
        <v>0.0603835216611174</v>
      </c>
      <c r="J3476" t="n">
        <v>0.1081671284529015</v>
      </c>
      <c r="K3476" t="n">
        <v>0.3093865466362267</v>
      </c>
      <c r="L3476" t="b">
        <v>0</v>
      </c>
      <c r="M3476" t="b">
        <v>0</v>
      </c>
      <c r="N3476" t="inlineStr">
        <is>
          <t>alt</t>
        </is>
      </c>
      <c r="O3476" t="n">
        <v>-70</v>
      </c>
      <c r="P3476" t="n">
        <v>0.009220000000000001</v>
      </c>
      <c r="Q3476" t="n">
        <v>-70</v>
      </c>
      <c r="R3476" t="n">
        <v>0.3418</v>
      </c>
      <c r="S3476">
        <f>IMAGE("https://mitra.stanford.edu/kundaje/oak/projects/neuro-variants/variant_position/credible/roussos_2024/variant_figures/roussos_2024.childhood.Astrocyte/rs159759_count_position.png",4,220,900)</f>
        <v/>
      </c>
      <c r="T3476">
        <f>IMAGE("https://mitra.stanford.edu/kundaje/oak/projects/neuro-variants/variant_position/credible/roussos_2024/variant_figures/roussos_2024.childhood.Astrocyte/rs159759_profile_position.png",4,220,900)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-0.102834187</v>
      </c>
      <c r="G3477" t="n">
        <v>0.0797023434883167</v>
      </c>
      <c r="H3477" t="n">
        <v>0.0166290978684829</v>
      </c>
      <c r="I3477" t="n">
        <v>0.2253727346555915</v>
      </c>
      <c r="J3477" t="n">
        <v>0.1499431354140428</v>
      </c>
      <c r="K3477" t="n">
        <v>0.2566373088496098</v>
      </c>
      <c r="L3477" t="b">
        <v>0</v>
      </c>
      <c r="M3477" t="b">
        <v>0</v>
      </c>
      <c r="N3477" t="inlineStr">
        <is>
          <t>ref</t>
        </is>
      </c>
      <c r="O3477" t="n">
        <v>90</v>
      </c>
      <c r="P3477" t="n">
        <v>0.01361</v>
      </c>
      <c r="Q3477" t="n">
        <v>-10</v>
      </c>
      <c r="R3477" t="n">
        <v>0.09717000000000001</v>
      </c>
      <c r="S3477">
        <f>IMAGE("https://mitra.stanford.edu/kundaje/oak/projects/neuro-variants/variant_position/credible/roussos_2024/variant_figures/roussos_2024.childhood.Astrocyte/rs160066_count_position.png",4,220,900)</f>
        <v/>
      </c>
      <c r="T3477">
        <f>IMAGE("https://mitra.stanford.edu/kundaje/oak/projects/neuro-variants/variant_position/credible/roussos_2024/variant_figures/roussos_2024.childhood.Astrocyte/rs160066_profile_position.png",4,220,900)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0.507037298</v>
      </c>
      <c r="G3478" t="n">
        <v>0.0010101593364061</v>
      </c>
      <c r="H3478" t="n">
        <v>0.0594540782210552</v>
      </c>
      <c r="I3478" t="n">
        <v>0.0020895874532541</v>
      </c>
      <c r="J3478" t="n">
        <v>0.3312808652576461</v>
      </c>
      <c r="K3478" t="n">
        <v>0.1173346008643915</v>
      </c>
      <c r="L3478" t="b">
        <v>1</v>
      </c>
      <c r="M3478" t="b">
        <v>1</v>
      </c>
      <c r="N3478" t="inlineStr">
        <is>
          <t>alt</t>
        </is>
      </c>
      <c r="O3478" t="n">
        <v>55</v>
      </c>
      <c r="P3478" t="n">
        <v>0.015015</v>
      </c>
      <c r="Q3478" t="n">
        <v>-50</v>
      </c>
      <c r="R3478" t="n">
        <v>0.1553</v>
      </c>
      <c r="S3478">
        <f>IMAGE("https://mitra.stanford.edu/kundaje/oak/projects/neuro-variants/variant_position/credible/roussos_2024/variant_figures/roussos_2024.childhood.Astrocyte/rs150618_count_position.png",4,220,900)</f>
        <v/>
      </c>
      <c r="T3478">
        <f>IMAGE("https://mitra.stanford.edu/kundaje/oak/projects/neuro-variants/variant_position/credible/roussos_2024/variant_figures/roussos_2024.childhood.Astrocyte/rs150618_profile_position.png",4,220,900)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-0.01840149774</v>
      </c>
      <c r="G3479" t="n">
        <v>0.3393341326561377</v>
      </c>
      <c r="H3479" t="n">
        <v>0.0161420767071162</v>
      </c>
      <c r="I3479" t="n">
        <v>0.2454176804125087</v>
      </c>
      <c r="J3479" t="n">
        <v>0.1752368085609824</v>
      </c>
      <c r="K3479" t="n">
        <v>0.2286736262951213</v>
      </c>
      <c r="L3479" t="b">
        <v>0</v>
      </c>
      <c r="M3479" t="b">
        <v>0</v>
      </c>
      <c r="N3479" t="inlineStr">
        <is>
          <t>ref</t>
        </is>
      </c>
      <c r="O3479" t="n">
        <v>5</v>
      </c>
      <c r="P3479" t="n">
        <v>0.000977</v>
      </c>
      <c r="Q3479" t="n">
        <v>-100</v>
      </c>
      <c r="R3479" t="n">
        <v>0.1067</v>
      </c>
      <c r="S3479">
        <f>IMAGE("https://mitra.stanford.edu/kundaje/oak/projects/neuro-variants/variant_position/credible/roussos_2024/variant_figures/roussos_2024.childhood.Astrocyte/rs149095_count_position.png",4,220,900)</f>
        <v/>
      </c>
      <c r="T3479">
        <f>IMAGE("https://mitra.stanford.edu/kundaje/oak/projects/neuro-variants/variant_position/credible/roussos_2024/variant_figures/roussos_2024.childhood.Astrocyte/rs149095_profile_position.png",4,220,900)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0.0192780977999999</v>
      </c>
      <c r="G3480" t="n">
        <v>0.5203384222985186</v>
      </c>
      <c r="H3480" t="n">
        <v>0.0155465750786114</v>
      </c>
      <c r="I3480" t="n">
        <v>0.271182415590668</v>
      </c>
      <c r="J3480" t="n">
        <v>0.0139238090876477</v>
      </c>
      <c r="K3480" t="n">
        <v>0.6423549024503946</v>
      </c>
      <c r="L3480" t="b">
        <v>0</v>
      </c>
      <c r="M3480" t="b">
        <v>0</v>
      </c>
      <c r="N3480" t="inlineStr">
        <is>
          <t>alt</t>
        </is>
      </c>
      <c r="O3480" t="n">
        <v>100</v>
      </c>
      <c r="P3480" t="n">
        <v>0.00364</v>
      </c>
      <c r="Q3480" t="n">
        <v>-100</v>
      </c>
      <c r="R3480" t="n">
        <v>0.05838</v>
      </c>
      <c r="S3480">
        <f>IMAGE("https://mitra.stanford.edu/kundaje/oak/projects/neuro-variants/variant_position/credible/roussos_2024/variant_figures/roussos_2024.childhood.Astrocyte/rs159972_count_position.png",4,220,900)</f>
        <v/>
      </c>
      <c r="T3480">
        <f>IMAGE("https://mitra.stanford.edu/kundaje/oak/projects/neuro-variants/variant_position/credible/roussos_2024/variant_figures/roussos_2024.childhood.Astrocyte/rs159972_profile_position.png",4,220,900)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0.0480025355999999</v>
      </c>
      <c r="G3481" t="n">
        <v>0.2310902946013894</v>
      </c>
      <c r="H3481" t="n">
        <v>0.0112518670492279</v>
      </c>
      <c r="I3481" t="n">
        <v>0.5914774521316351</v>
      </c>
      <c r="J3481" t="n">
        <v>0.013707036706281</v>
      </c>
      <c r="K3481" t="n">
        <v>0.6501937173113028</v>
      </c>
      <c r="L3481" t="b">
        <v>0</v>
      </c>
      <c r="M3481" t="b">
        <v>0</v>
      </c>
      <c r="N3481" t="inlineStr">
        <is>
          <t>alt</t>
        </is>
      </c>
      <c r="O3481" t="n">
        <v>100</v>
      </c>
      <c r="P3481" t="n">
        <v>0.013214</v>
      </c>
      <c r="Q3481" t="n">
        <v>30</v>
      </c>
      <c r="R3481" t="n">
        <v>0.02393</v>
      </c>
      <c r="S3481">
        <f>IMAGE("https://mitra.stanford.edu/kundaje/oak/projects/neuro-variants/variant_position/credible/roussos_2024/variant_figures/roussos_2024.childhood.Astrocyte/rs159973_count_position.png",4,220,900)</f>
        <v/>
      </c>
      <c r="T3481">
        <f>IMAGE("https://mitra.stanford.edu/kundaje/oak/projects/neuro-variants/variant_position/credible/roussos_2024/variant_figures/roussos_2024.childhood.Astrocyte/rs159973_profile_position.png",4,220,900)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0.0319089848</v>
      </c>
      <c r="G3482" t="n">
        <v>0.3344734397598383</v>
      </c>
      <c r="H3482" t="n">
        <v>0.0182532225061754</v>
      </c>
      <c r="I3482" t="n">
        <v>0.166206514760291</v>
      </c>
      <c r="J3482" t="n">
        <v>0.0033149382122384</v>
      </c>
      <c r="K3482" t="n">
        <v>0.8309429872813545</v>
      </c>
      <c r="L3482" t="b">
        <v>0</v>
      </c>
      <c r="M3482" t="b">
        <v>0</v>
      </c>
      <c r="N3482" t="inlineStr">
        <is>
          <t>alt</t>
        </is>
      </c>
      <c r="O3482" t="n">
        <v>25</v>
      </c>
      <c r="P3482" t="n">
        <v>0.003326</v>
      </c>
      <c r="Q3482" t="n">
        <v>-10</v>
      </c>
      <c r="R3482" t="n">
        <v>0.04126</v>
      </c>
      <c r="S3482">
        <f>IMAGE("https://mitra.stanford.edu/kundaje/oak/projects/neuro-variants/variant_position/credible/roussos_2024/variant_figures/roussos_2024.childhood.Astrocyte/rs304883_count_position.png",4,220,900)</f>
        <v/>
      </c>
      <c r="T3482">
        <f>IMAGE("https://mitra.stanford.edu/kundaje/oak/projects/neuro-variants/variant_position/credible/roussos_2024/variant_figures/roussos_2024.childhood.Astrocyte/rs304883_profile_position.png",4,220,900)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-0.02237050338</v>
      </c>
      <c r="G3483" t="n">
        <v>0.5025112359660574</v>
      </c>
      <c r="H3483" t="n">
        <v>0.0122903873706607</v>
      </c>
      <c r="I3483" t="n">
        <v>0.4914986226226612</v>
      </c>
      <c r="J3483" t="n">
        <v>0.0008693793745658</v>
      </c>
      <c r="K3483" t="n">
        <v>0.9255621041348034</v>
      </c>
      <c r="L3483" t="b">
        <v>0</v>
      </c>
      <c r="M3483" t="b">
        <v>0</v>
      </c>
      <c r="N3483" t="inlineStr">
        <is>
          <t>ref</t>
        </is>
      </c>
      <c r="O3483" t="n">
        <v>-80</v>
      </c>
      <c r="P3483" t="n">
        <v>0.02193</v>
      </c>
      <c r="Q3483" t="n">
        <v>-90</v>
      </c>
      <c r="R3483" t="n">
        <v>0.03003</v>
      </c>
      <c r="S3483">
        <f>IMAGE("https://mitra.stanford.edu/kundaje/oak/projects/neuro-variants/variant_position/credible/roussos_2024/variant_figures/roussos_2024.childhood.Astrocyte/rs304884_count_position.png",4,220,900)</f>
        <v/>
      </c>
      <c r="T3483">
        <f>IMAGE("https://mitra.stanford.edu/kundaje/oak/projects/neuro-variants/variant_position/credible/roussos_2024/variant_figures/roussos_2024.childhood.Astrocyte/rs304884_profile_position.png",4,220,900)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0.0348430572</v>
      </c>
      <c r="G3484" t="n">
        <v>0.3205285247965704</v>
      </c>
      <c r="H3484" t="n">
        <v>0.0113662305951708</v>
      </c>
      <c r="I3484" t="n">
        <v>0.5761472948786354</v>
      </c>
      <c r="J3484" t="n">
        <v>0.0016738796913282</v>
      </c>
      <c r="K3484" t="n">
        <v>0.8765902814398693</v>
      </c>
      <c r="L3484" t="b">
        <v>0</v>
      </c>
      <c r="M3484" t="b">
        <v>0</v>
      </c>
      <c r="N3484" t="inlineStr">
        <is>
          <t>alt</t>
        </is>
      </c>
      <c r="O3484" t="n">
        <v>10</v>
      </c>
      <c r="P3484" t="n">
        <v>0.001982</v>
      </c>
      <c r="Q3484" t="n">
        <v>100</v>
      </c>
      <c r="R3484" t="n">
        <v>0.06335</v>
      </c>
      <c r="S3484">
        <f>IMAGE("https://mitra.stanford.edu/kundaje/oak/projects/neuro-variants/variant_position/credible/roussos_2024/variant_figures/roussos_2024.childhood.Astrocyte/rs304853_count_position.png",4,220,900)</f>
        <v/>
      </c>
      <c r="T3484">
        <f>IMAGE("https://mitra.stanford.edu/kundaje/oak/projects/neuro-variants/variant_position/credible/roussos_2024/variant_figures/roussos_2024.childhood.Astrocyte/rs304853_profile_position.png",4,220,900)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-0.0613191415999999</v>
      </c>
      <c r="G3485" t="n">
        <v>0.1389930313742152</v>
      </c>
      <c r="H3485" t="n">
        <v>0.0182085400132131</v>
      </c>
      <c r="I3485" t="n">
        <v>0.1761932203664857</v>
      </c>
      <c r="J3485" t="n">
        <v>0.07850594979124199</v>
      </c>
      <c r="K3485" t="n">
        <v>0.3761458788910198</v>
      </c>
      <c r="L3485" t="b">
        <v>0</v>
      </c>
      <c r="M3485" t="b">
        <v>0</v>
      </c>
      <c r="N3485" t="inlineStr">
        <is>
          <t>ref</t>
        </is>
      </c>
      <c r="O3485" t="n">
        <v>95</v>
      </c>
      <c r="P3485" t="n">
        <v>0.01141</v>
      </c>
      <c r="Q3485" t="n">
        <v>95</v>
      </c>
      <c r="R3485" t="n">
        <v>0.11084</v>
      </c>
      <c r="S3485">
        <f>IMAGE("https://mitra.stanford.edu/kundaje/oak/projects/neuro-variants/variant_position/credible/roussos_2024/variant_figures/roussos_2024.childhood.Astrocyte/rs304855_count_position.png",4,220,900)</f>
        <v/>
      </c>
      <c r="T3485">
        <f>IMAGE("https://mitra.stanford.edu/kundaje/oak/projects/neuro-variants/variant_position/credible/roussos_2024/variant_figures/roussos_2024.childhood.Astrocyte/rs304855_profile_position.png",4,220,900)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-0.087330331</v>
      </c>
      <c r="G3486" t="n">
        <v>0.097534098357466</v>
      </c>
      <c r="H3486" t="n">
        <v>0.0129970100944101</v>
      </c>
      <c r="I3486" t="n">
        <v>0.4296878454609885</v>
      </c>
      <c r="J3486" t="n">
        <v>0.0051155228870417</v>
      </c>
      <c r="K3486" t="n">
        <v>0.7722907491211541</v>
      </c>
      <c r="L3486" t="b">
        <v>0</v>
      </c>
      <c r="M3486" t="b">
        <v>0</v>
      </c>
      <c r="N3486" t="inlineStr">
        <is>
          <t>ref</t>
        </is>
      </c>
      <c r="O3486" t="n">
        <v>100</v>
      </c>
      <c r="P3486" t="n">
        <v>0.02325</v>
      </c>
      <c r="Q3486" t="n">
        <v>-75</v>
      </c>
      <c r="R3486" t="n">
        <v>0.1166</v>
      </c>
      <c r="S3486">
        <f>IMAGE("https://mitra.stanford.edu/kundaje/oak/projects/neuro-variants/variant_position/credible/roussos_2024/variant_figures/roussos_2024.childhood.Astrocyte/rs160161_count_position.png",4,220,900)</f>
        <v/>
      </c>
      <c r="T3486">
        <f>IMAGE("https://mitra.stanford.edu/kundaje/oak/projects/neuro-variants/variant_position/credible/roussos_2024/variant_figures/roussos_2024.childhood.Astrocyte/rs160161_profile_position.png",4,220,900)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-0.0019049830888</v>
      </c>
      <c r="G3487" t="n">
        <v>0.8241970221875047</v>
      </c>
      <c r="H3487" t="n">
        <v>0.030865623356761</v>
      </c>
      <c r="I3487" t="n">
        <v>0.0269153078434448</v>
      </c>
      <c r="J3487" t="n">
        <v>0.0391739751017074</v>
      </c>
      <c r="K3487" t="n">
        <v>0.4959138279096865</v>
      </c>
      <c r="L3487" t="b">
        <v>0</v>
      </c>
      <c r="M3487" t="b">
        <v>0</v>
      </c>
      <c r="N3487" t="inlineStr">
        <is>
          <t>ref</t>
        </is>
      </c>
      <c r="O3487" t="n">
        <v>-20</v>
      </c>
      <c r="P3487" t="n">
        <v>0.005333</v>
      </c>
      <c r="Q3487" t="n">
        <v>-50</v>
      </c>
      <c r="R3487" t="n">
        <v>0.096</v>
      </c>
      <c r="S3487">
        <f>IMAGE("https://mitra.stanford.edu/kundaje/oak/projects/neuro-variants/variant_position/credible/roussos_2024/variant_figures/roussos_2024.childhood.Astrocyte/rs13172447_count_position.png",4,220,900)</f>
        <v/>
      </c>
      <c r="T3487">
        <f>IMAGE("https://mitra.stanford.edu/kundaje/oak/projects/neuro-variants/variant_position/credible/roussos_2024/variant_figures/roussos_2024.childhood.Astrocyte/rs13172447_profile_position.png",4,220,900)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-0.0225536366</v>
      </c>
      <c r="G3488" t="n">
        <v>0.4380531968438815</v>
      </c>
      <c r="H3488" t="n">
        <v>0.0142427469484107</v>
      </c>
      <c r="I3488" t="n">
        <v>0.3500829295551413</v>
      </c>
      <c r="J3488" t="n">
        <v>0.0420576584003113</v>
      </c>
      <c r="K3488" t="n">
        <v>0.4855010143241638</v>
      </c>
      <c r="L3488" t="b">
        <v>0</v>
      </c>
      <c r="M3488" t="b">
        <v>0</v>
      </c>
      <c r="N3488" t="inlineStr">
        <is>
          <t>ref</t>
        </is>
      </c>
      <c r="O3488" t="n">
        <v>-60</v>
      </c>
      <c r="P3488" t="n">
        <v>0.00685</v>
      </c>
      <c r="Q3488" t="n">
        <v>45</v>
      </c>
      <c r="R3488" t="n">
        <v>0.09420000000000001</v>
      </c>
      <c r="S3488">
        <f>IMAGE("https://mitra.stanford.edu/kundaje/oak/projects/neuro-variants/variant_position/credible/roussos_2024/variant_figures/roussos_2024.childhood.Astrocyte/rs4246043_count_position.png",4,220,900)</f>
        <v/>
      </c>
      <c r="T3488">
        <f>IMAGE("https://mitra.stanford.edu/kundaje/oak/projects/neuro-variants/variant_position/credible/roussos_2024/variant_figures/roussos_2024.childhood.Astrocyte/rs4246043_profile_position.png",4,220,900)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0.01079862382</v>
      </c>
      <c r="G3489" t="n">
        <v>0.6953444743556665</v>
      </c>
      <c r="H3489" t="n">
        <v>0.031345658454528</v>
      </c>
      <c r="I3489" t="n">
        <v>0.0254918496130324</v>
      </c>
      <c r="J3489" t="n">
        <v>0.008380084419103401</v>
      </c>
      <c r="K3489" t="n">
        <v>0.7169217908374516</v>
      </c>
      <c r="L3489" t="b">
        <v>0</v>
      </c>
      <c r="M3489" t="b">
        <v>0</v>
      </c>
      <c r="N3489" t="inlineStr">
        <is>
          <t>alt</t>
        </is>
      </c>
      <c r="O3489" t="n">
        <v>100</v>
      </c>
      <c r="P3489" t="n">
        <v>0.01138</v>
      </c>
      <c r="Q3489" t="n">
        <v>-85</v>
      </c>
      <c r="R3489" t="n">
        <v>0.1167</v>
      </c>
      <c r="S3489">
        <f>IMAGE("https://mitra.stanford.edu/kundaje/oak/projects/neuro-variants/variant_position/credible/roussos_2024/variant_figures/roussos_2024.childhood.Astrocyte/rs3811983_count_position.png",4,220,900)</f>
        <v/>
      </c>
      <c r="T3489">
        <f>IMAGE("https://mitra.stanford.edu/kundaje/oak/projects/neuro-variants/variant_position/credible/roussos_2024/variant_figures/roussos_2024.childhood.Astrocyte/rs3811983_profile_position.png",4,220,900)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0.1368522203999999</v>
      </c>
      <c r="G3490" t="n">
        <v>0.0341478284342782</v>
      </c>
      <c r="H3490" t="n">
        <v>0.0227569327868123</v>
      </c>
      <c r="I3490" t="n">
        <v>0.0875663509944557</v>
      </c>
      <c r="J3490" t="n">
        <v>0.1649271446345019</v>
      </c>
      <c r="K3490" t="n">
        <v>0.2435255221899981</v>
      </c>
      <c r="L3490" t="b">
        <v>0</v>
      </c>
      <c r="M3490" t="b">
        <v>0</v>
      </c>
      <c r="N3490" t="inlineStr">
        <is>
          <t>alt</t>
        </is>
      </c>
      <c r="O3490" t="n">
        <v>-95</v>
      </c>
      <c r="P3490" t="n">
        <v>0.00404</v>
      </c>
      <c r="Q3490" t="n">
        <v>-50</v>
      </c>
      <c r="R3490" t="n">
        <v>0.0769</v>
      </c>
      <c r="S3490">
        <f>IMAGE("https://mitra.stanford.edu/kundaje/oak/projects/neuro-variants/variant_position/credible/roussos_2024/variant_figures/roussos_2024.childhood.Astrocyte/rs1347798_count_position.png",4,220,900)</f>
        <v/>
      </c>
      <c r="T3490">
        <f>IMAGE("https://mitra.stanford.edu/kundaje/oak/projects/neuro-variants/variant_position/credible/roussos_2024/variant_figures/roussos_2024.childhood.Astrocyte/rs1347798_profile_position.png",4,220,900)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-0.342684082</v>
      </c>
      <c r="G3491" t="n">
        <v>0.0040626030971723</v>
      </c>
      <c r="H3491" t="n">
        <v>0.050505395357274</v>
      </c>
      <c r="I3491" t="n">
        <v>0.0044090117380191</v>
      </c>
      <c r="J3491" t="n">
        <v>0.233099005442208</v>
      </c>
      <c r="K3491" t="n">
        <v>0.1841957231032586</v>
      </c>
      <c r="L3491" t="b">
        <v>1</v>
      </c>
      <c r="M3491" t="b">
        <v>1</v>
      </c>
      <c r="N3491" t="inlineStr">
        <is>
          <t>ref</t>
        </is>
      </c>
      <c r="O3491" t="n">
        <v>100</v>
      </c>
      <c r="P3491" t="n">
        <v>0.03198</v>
      </c>
      <c r="Q3491" t="n">
        <v>100</v>
      </c>
      <c r="R3491" t="n">
        <v>0.1821</v>
      </c>
      <c r="S3491">
        <f>IMAGE("https://mitra.stanford.edu/kundaje/oak/projects/neuro-variants/variant_position/credible/roussos_2024/variant_figures/roussos_2024.childhood.Astrocyte/rs425263_count_position.png",4,220,900)</f>
        <v/>
      </c>
      <c r="T3491">
        <f>IMAGE("https://mitra.stanford.edu/kundaje/oak/projects/neuro-variants/variant_position/credible/roussos_2024/variant_figures/roussos_2024.childhood.Astrocyte/rs425263_profile_position.png",4,220,900)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-0.0037058063</v>
      </c>
      <c r="G3492" t="n">
        <v>0.6900044351809366</v>
      </c>
      <c r="H3492" t="n">
        <v>0.0285909418729148</v>
      </c>
      <c r="I3492" t="n">
        <v>0.0363816026349893</v>
      </c>
      <c r="J3492" t="n">
        <v>0.0010808087747016</v>
      </c>
      <c r="K3492" t="n">
        <v>0.8998100742308892</v>
      </c>
      <c r="L3492" t="b">
        <v>0</v>
      </c>
      <c r="M3492" t="b">
        <v>0</v>
      </c>
      <c r="N3492" t="inlineStr">
        <is>
          <t>ref</t>
        </is>
      </c>
      <c r="O3492" t="n">
        <v>90</v>
      </c>
      <c r="P3492" t="n">
        <v>0.0406</v>
      </c>
      <c r="Q3492" t="n">
        <v>75</v>
      </c>
      <c r="R3492" t="n">
        <v>0.0377</v>
      </c>
      <c r="S3492">
        <f>IMAGE("https://mitra.stanford.edu/kundaje/oak/projects/neuro-variants/variant_position/credible/roussos_2024/variant_figures/roussos_2024.childhood.Astrocyte/rs6580047_count_position.png",4,220,900)</f>
        <v/>
      </c>
      <c r="T3492">
        <f>IMAGE("https://mitra.stanford.edu/kundaje/oak/projects/neuro-variants/variant_position/credible/roussos_2024/variant_figures/roussos_2024.childhood.Astrocyte/rs6580047_profile_position.png",4,220,900)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-0.002307695</v>
      </c>
      <c r="G3493" t="n">
        <v>0.7203020918613332</v>
      </c>
      <c r="H3493" t="n">
        <v>0.0076301049646909</v>
      </c>
      <c r="I3493" t="n">
        <v>0.932220068329812</v>
      </c>
      <c r="J3493" t="n">
        <v>0.0129605459000251</v>
      </c>
      <c r="K3493" t="n">
        <v>0.6682207486525853</v>
      </c>
      <c r="L3493" t="b">
        <v>0</v>
      </c>
      <c r="M3493" t="b">
        <v>0</v>
      </c>
      <c r="N3493" t="inlineStr">
        <is>
          <t>ref</t>
        </is>
      </c>
      <c r="O3493" t="n">
        <v>95</v>
      </c>
      <c r="P3493" t="n">
        <v>0.013</v>
      </c>
      <c r="Q3493" t="n">
        <v>75</v>
      </c>
      <c r="R3493" t="n">
        <v>0.1067</v>
      </c>
      <c r="S3493">
        <f>IMAGE("https://mitra.stanford.edu/kundaje/oak/projects/neuro-variants/variant_position/credible/roussos_2024/variant_figures/roussos_2024.childhood.Astrocyte/rs552556_count_position.png",4,220,900)</f>
        <v/>
      </c>
      <c r="T3493">
        <f>IMAGE("https://mitra.stanford.edu/kundaje/oak/projects/neuro-variants/variant_position/credible/roussos_2024/variant_figures/roussos_2024.childhood.Astrocyte/rs552556_profile_position.png",4,220,900)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-0.048383624</v>
      </c>
      <c r="G3494" t="n">
        <v>0.2290929218801262</v>
      </c>
      <c r="H3494" t="n">
        <v>0.0202388200122488</v>
      </c>
      <c r="I3494" t="n">
        <v>0.1193405067630743</v>
      </c>
      <c r="J3494" t="n">
        <v>0.0088701121262775</v>
      </c>
      <c r="K3494" t="n">
        <v>0.7078884791760293</v>
      </c>
      <c r="L3494" t="b">
        <v>0</v>
      </c>
      <c r="M3494" t="b">
        <v>0</v>
      </c>
      <c r="N3494" t="inlineStr">
        <is>
          <t>ref</t>
        </is>
      </c>
      <c r="O3494" t="n">
        <v>-100</v>
      </c>
      <c r="P3494" t="n">
        <v>0.004818</v>
      </c>
      <c r="Q3494" t="n">
        <v>-75</v>
      </c>
      <c r="R3494" t="n">
        <v>0.1656</v>
      </c>
      <c r="S3494">
        <f>IMAGE("https://mitra.stanford.edu/kundaje/oak/projects/neuro-variants/variant_position/credible/roussos_2024/variant_figures/roussos_2024.childhood.Astrocyte/rs2118660_count_position.png",4,220,900)</f>
        <v/>
      </c>
      <c r="T3494">
        <f>IMAGE("https://mitra.stanford.edu/kundaje/oak/projects/neuro-variants/variant_position/credible/roussos_2024/variant_figures/roussos_2024.childhood.Astrocyte/rs2118660_profile_position.png",4,220,900)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-0.0143701361</v>
      </c>
      <c r="G3495" t="n">
        <v>0.6378485315844518</v>
      </c>
      <c r="H3495" t="n">
        <v>0.0199196617820881</v>
      </c>
      <c r="I3495" t="n">
        <v>0.1275863383118668</v>
      </c>
      <c r="J3495" t="n">
        <v>0.020376603848473</v>
      </c>
      <c r="K3495" t="n">
        <v>0.5937889486341709</v>
      </c>
      <c r="L3495" t="b">
        <v>0</v>
      </c>
      <c r="M3495" t="b">
        <v>0</v>
      </c>
      <c r="N3495" t="inlineStr">
        <is>
          <t>ref</t>
        </is>
      </c>
      <c r="O3495" t="n">
        <v>-20</v>
      </c>
      <c r="P3495" t="n">
        <v>0.03226</v>
      </c>
      <c r="Q3495" t="n">
        <v>-50</v>
      </c>
      <c r="R3495" t="n">
        <v>0.11566</v>
      </c>
      <c r="S3495">
        <f>IMAGE("https://mitra.stanford.edu/kundaje/oak/projects/neuro-variants/variant_position/credible/roussos_2024/variant_figures/roussos_2024.childhood.Astrocyte/rs2560047_count_position.png",4,220,900)</f>
        <v/>
      </c>
      <c r="T3495">
        <f>IMAGE("https://mitra.stanford.edu/kundaje/oak/projects/neuro-variants/variant_position/credible/roussos_2024/variant_figures/roussos_2024.childhood.Astrocyte/rs2560047_profile_position.png",4,220,900)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-0.0393661122</v>
      </c>
      <c r="G3496" t="n">
        <v>0.2698907744652236</v>
      </c>
      <c r="H3496" t="n">
        <v>0.0127023488394801</v>
      </c>
      <c r="I3496" t="n">
        <v>0.4356143615256309</v>
      </c>
      <c r="J3496" t="n">
        <v>0.3325898956592094</v>
      </c>
      <c r="K3496" t="n">
        <v>0.1174425680538805</v>
      </c>
      <c r="L3496" t="b">
        <v>0</v>
      </c>
      <c r="M3496" t="b">
        <v>0</v>
      </c>
      <c r="N3496" t="inlineStr">
        <is>
          <t>ref</t>
        </is>
      </c>
      <c r="O3496" t="n">
        <v>75</v>
      </c>
      <c r="P3496" t="n">
        <v>0.02466</v>
      </c>
      <c r="Q3496" t="n">
        <v>100</v>
      </c>
      <c r="R3496" t="n">
        <v>0.0559</v>
      </c>
      <c r="S3496">
        <f>IMAGE("https://mitra.stanford.edu/kundaje/oak/projects/neuro-variants/variant_position/credible/roussos_2024/variant_figures/roussos_2024.childhood.Astrocyte/rs10038905_count_position.png",4,220,900)</f>
        <v/>
      </c>
      <c r="T3496">
        <f>IMAGE("https://mitra.stanford.edu/kundaje/oak/projects/neuro-variants/variant_position/credible/roussos_2024/variant_figures/roussos_2024.childhood.Astrocyte/rs10038905_profile_position.png",4,220,900)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-0.0243453708</v>
      </c>
      <c r="G3497" t="n">
        <v>0.458534871874457</v>
      </c>
      <c r="H3497" t="n">
        <v>0.007475918681669</v>
      </c>
      <c r="I3497" t="n">
        <v>0.9364098348928922</v>
      </c>
      <c r="J3497" t="n">
        <v>0.0237541312694159</v>
      </c>
      <c r="K3497" t="n">
        <v>0.5713921239291735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0.0351</v>
      </c>
      <c r="Q3497" t="n">
        <v>100</v>
      </c>
      <c r="R3497" t="n">
        <v>0.2993</v>
      </c>
      <c r="S3497">
        <f>IMAGE("https://mitra.stanford.edu/kundaje/oak/projects/neuro-variants/variant_position/credible/roussos_2024/variant_figures/roussos_2024.childhood.Astrocyte/rs2578375_count_position.png",4,220,900)</f>
        <v/>
      </c>
      <c r="T3497">
        <f>IMAGE("https://mitra.stanford.edu/kundaje/oak/projects/neuro-variants/variant_position/credible/roussos_2024/variant_figures/roussos_2024.childhood.Astrocyte/rs2578375_profile_position.png",4,220,900)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0.0200484762</v>
      </c>
      <c r="G3498" t="n">
        <v>0.1538010842242224</v>
      </c>
      <c r="H3498" t="n">
        <v>0.018639560775899</v>
      </c>
      <c r="I3498" t="n">
        <v>0.1689993859580699</v>
      </c>
      <c r="J3498" t="n">
        <v>0.0364024944089517</v>
      </c>
      <c r="K3498" t="n">
        <v>0.5138990783437788</v>
      </c>
      <c r="L3498" t="b">
        <v>0</v>
      </c>
      <c r="M3498" t="b">
        <v>0</v>
      </c>
      <c r="N3498" t="inlineStr">
        <is>
          <t>alt</t>
        </is>
      </c>
      <c r="O3498" t="n">
        <v>10</v>
      </c>
      <c r="P3498" t="n">
        <v>0.001492</v>
      </c>
      <c r="Q3498" t="n">
        <v>-70</v>
      </c>
      <c r="R3498" t="n">
        <v>0.01978</v>
      </c>
      <c r="S3498">
        <f>IMAGE("https://mitra.stanford.edu/kundaje/oak/projects/neuro-variants/variant_position/credible/roussos_2024/variant_figures/roussos_2024.childhood.Astrocyte/rs2578376_count_position.png",4,220,900)</f>
        <v/>
      </c>
      <c r="T3498">
        <f>IMAGE("https://mitra.stanford.edu/kundaje/oak/projects/neuro-variants/variant_position/credible/roussos_2024/variant_figures/roussos_2024.childhood.Astrocyte/rs2578376_profile_position.png",4,220,900)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-0.000237055088</v>
      </c>
      <c r="G3499" t="n">
        <v>0.9263588135140924</v>
      </c>
      <c r="H3499" t="n">
        <v>0.0316792984049882</v>
      </c>
      <c r="I3499" t="n">
        <v>0.0238905515520218</v>
      </c>
      <c r="J3499" t="n">
        <v>0.0026279834825551</v>
      </c>
      <c r="K3499" t="n">
        <v>0.8425052341711643</v>
      </c>
      <c r="L3499" t="b">
        <v>0</v>
      </c>
      <c r="M3499" t="b">
        <v>0</v>
      </c>
      <c r="N3499" t="inlineStr">
        <is>
          <t>ref</t>
        </is>
      </c>
      <c r="O3499" t="n">
        <v>-10</v>
      </c>
      <c r="P3499" t="n">
        <v>0.001923</v>
      </c>
      <c r="Q3499" t="n">
        <v>35</v>
      </c>
      <c r="R3499" t="n">
        <v>0.04822</v>
      </c>
      <c r="S3499">
        <f>IMAGE("https://mitra.stanford.edu/kundaje/oak/projects/neuro-variants/variant_position/credible/roussos_2024/variant_figures/roussos_2024.childhood.Astrocyte/rs567749_count_position.png",4,220,900)</f>
        <v/>
      </c>
      <c r="T3499">
        <f>IMAGE("https://mitra.stanford.edu/kundaje/oak/projects/neuro-variants/variant_position/credible/roussos_2024/variant_figures/roussos_2024.childhood.Astrocyte/rs567749_profile_position.png",4,220,900)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0.014254378</v>
      </c>
      <c r="G3500" t="n">
        <v>0.6127744304168468</v>
      </c>
      <c r="H3500" t="n">
        <v>0.0152543572926498</v>
      </c>
      <c r="I3500" t="n">
        <v>0.2843118041403132</v>
      </c>
      <c r="J3500" t="n">
        <v>0.0412546846496148</v>
      </c>
      <c r="K3500" t="n">
        <v>0.4873918821140023</v>
      </c>
      <c r="L3500" t="b">
        <v>0</v>
      </c>
      <c r="M3500" t="b">
        <v>0</v>
      </c>
      <c r="N3500" t="inlineStr">
        <is>
          <t>alt</t>
        </is>
      </c>
      <c r="O3500" t="n">
        <v>5</v>
      </c>
      <c r="P3500" t="n">
        <v>0.0008774</v>
      </c>
      <c r="Q3500" t="n">
        <v>85</v>
      </c>
      <c r="R3500" t="n">
        <v>0.01938</v>
      </c>
      <c r="S3500">
        <f>IMAGE("https://mitra.stanford.edu/kundaje/oak/projects/neuro-variants/variant_position/credible/roussos_2024/variant_figures/roussos_2024.childhood.Astrocyte/rs411245_count_position.png",4,220,900)</f>
        <v/>
      </c>
      <c r="T3500">
        <f>IMAGE("https://mitra.stanford.edu/kundaje/oak/projects/neuro-variants/variant_position/credible/roussos_2024/variant_figures/roussos_2024.childhood.Astrocyte/rs411245_profile_position.png",4,220,900)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-0.0200584765</v>
      </c>
      <c r="G3501" t="n">
        <v>0.4787237647797064</v>
      </c>
      <c r="H3501" t="n">
        <v>0.0120383320877204</v>
      </c>
      <c r="I3501" t="n">
        <v>0.5066068492229039</v>
      </c>
      <c r="J3501" t="n">
        <v>0.0131941105081174</v>
      </c>
      <c r="K3501" t="n">
        <v>0.6502772545759583</v>
      </c>
      <c r="L3501" t="b">
        <v>0</v>
      </c>
      <c r="M3501" t="b">
        <v>0</v>
      </c>
      <c r="N3501" t="inlineStr">
        <is>
          <t>ref</t>
        </is>
      </c>
      <c r="O3501" t="n">
        <v>-70</v>
      </c>
      <c r="P3501" t="n">
        <v>0.00717</v>
      </c>
      <c r="Q3501" t="n">
        <v>100</v>
      </c>
      <c r="R3501" t="n">
        <v>0.1196</v>
      </c>
      <c r="S3501">
        <f>IMAGE("https://mitra.stanford.edu/kundaje/oak/projects/neuro-variants/variant_position/credible/roussos_2024/variant_figures/roussos_2024.childhood.Astrocyte/rs1438590_count_position.png",4,220,900)</f>
        <v/>
      </c>
      <c r="T3501">
        <f>IMAGE("https://mitra.stanford.edu/kundaje/oak/projects/neuro-variants/variant_position/credible/roussos_2024/variant_figures/roussos_2024.childhood.Astrocyte/rs1438590_profile_position.png",4,220,900)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0.0757612279999999</v>
      </c>
      <c r="G3502" t="n">
        <v>0.1126959214054121</v>
      </c>
      <c r="H3502" t="n">
        <v>0.0223693555963461</v>
      </c>
      <c r="I3502" t="n">
        <v>0.08658515607345039</v>
      </c>
      <c r="J3502" t="n">
        <v>0.6884927449947715</v>
      </c>
      <c r="K3502" t="n">
        <v>0.0198654137925993</v>
      </c>
      <c r="L3502" t="b">
        <v>0</v>
      </c>
      <c r="M3502" t="b">
        <v>0</v>
      </c>
      <c r="N3502" t="inlineStr">
        <is>
          <t>alt</t>
        </is>
      </c>
      <c r="O3502" t="n">
        <v>100</v>
      </c>
      <c r="P3502" t="n">
        <v>0.00659</v>
      </c>
      <c r="Q3502" t="n">
        <v>5</v>
      </c>
      <c r="R3502" t="n">
        <v>0.02246</v>
      </c>
      <c r="S3502">
        <f>IMAGE("https://mitra.stanford.edu/kundaje/oak/projects/neuro-variants/variant_position/credible/roussos_2024/variant_figures/roussos_2024.childhood.Astrocyte/rs816028_count_position.png",4,220,900)</f>
        <v/>
      </c>
      <c r="T3502">
        <f>IMAGE("https://mitra.stanford.edu/kundaje/oak/projects/neuro-variants/variant_position/credible/roussos_2024/variant_figures/roussos_2024.childhood.Astrocyte/rs816028_profile_position.png",4,220,900)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0.0931201439999999</v>
      </c>
      <c r="G3503" t="n">
        <v>0.107473327613181</v>
      </c>
      <c r="H3503" t="n">
        <v>0.015109563807399</v>
      </c>
      <c r="I3503" t="n">
        <v>0.2915393101275921</v>
      </c>
      <c r="J3503" t="n">
        <v>0.0663552471892101</v>
      </c>
      <c r="K3503" t="n">
        <v>0.4404797860565301</v>
      </c>
      <c r="L3503" t="b">
        <v>0</v>
      </c>
      <c r="M3503" t="b">
        <v>0</v>
      </c>
      <c r="N3503" t="inlineStr">
        <is>
          <t>alt</t>
        </is>
      </c>
      <c r="O3503" t="n">
        <v>-90</v>
      </c>
      <c r="P3503" t="n">
        <v>0.005463</v>
      </c>
      <c r="Q3503" t="n">
        <v>45</v>
      </c>
      <c r="R3503" t="n">
        <v>0.09827</v>
      </c>
      <c r="S3503">
        <f>IMAGE("https://mitra.stanford.edu/kundaje/oak/projects/neuro-variants/variant_position/credible/roussos_2024/variant_figures/roussos_2024.childhood.Astrocyte/rs1478350_count_position.png",4,220,900)</f>
        <v/>
      </c>
      <c r="T3503">
        <f>IMAGE("https://mitra.stanford.edu/kundaje/oak/projects/neuro-variants/variant_position/credible/roussos_2024/variant_figures/roussos_2024.childhood.Astrocyte/rs1478350_profile_position.png",4,220,900)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0.06805749580000001</v>
      </c>
      <c r="G3504" t="n">
        <v>0.1466175380398021</v>
      </c>
      <c r="H3504" t="n">
        <v>0.0126948371729589</v>
      </c>
      <c r="I3504" t="n">
        <v>0.4449155998539575</v>
      </c>
      <c r="J3504" t="n">
        <v>0.0452909253280208</v>
      </c>
      <c r="K3504" t="n">
        <v>0.465097876922774</v>
      </c>
      <c r="L3504" t="b">
        <v>0</v>
      </c>
      <c r="M3504" t="b">
        <v>0</v>
      </c>
      <c r="N3504" t="inlineStr">
        <is>
          <t>alt</t>
        </is>
      </c>
      <c r="O3504" t="n">
        <v>-65</v>
      </c>
      <c r="P3504" t="n">
        <v>0.00776</v>
      </c>
      <c r="Q3504" t="n">
        <v>-65</v>
      </c>
      <c r="R3504" t="n">
        <v>0.1848</v>
      </c>
      <c r="S3504">
        <f>IMAGE("https://mitra.stanford.edu/kundaje/oak/projects/neuro-variants/variant_position/credible/roussos_2024/variant_figures/roussos_2024.childhood.Astrocyte/rs816009_count_position.png",4,220,900)</f>
        <v/>
      </c>
      <c r="T3504">
        <f>IMAGE("https://mitra.stanford.edu/kundaje/oak/projects/neuro-variants/variant_position/credible/roussos_2024/variant_figures/roussos_2024.childhood.Astrocyte/rs816009_profile_position.png",4,220,900)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-0.04292217746</v>
      </c>
      <c r="G3505" t="n">
        <v>0.2615331705584222</v>
      </c>
      <c r="H3505" t="n">
        <v>0.0212202432145693</v>
      </c>
      <c r="I3505" t="n">
        <v>0.107313102991311</v>
      </c>
      <c r="J3505" t="n">
        <v>0.0054673963652461</v>
      </c>
      <c r="K3505" t="n">
        <v>0.7813304825777081</v>
      </c>
      <c r="L3505" t="b">
        <v>0</v>
      </c>
      <c r="M3505" t="b">
        <v>0</v>
      </c>
      <c r="N3505" t="inlineStr">
        <is>
          <t>ref</t>
        </is>
      </c>
      <c r="O3505" t="n">
        <v>35</v>
      </c>
      <c r="P3505" t="n">
        <v>0.001295</v>
      </c>
      <c r="Q3505" t="n">
        <v>-95</v>
      </c>
      <c r="R3505" t="n">
        <v>0.0868</v>
      </c>
      <c r="S3505">
        <f>IMAGE("https://mitra.stanford.edu/kundaje/oak/projects/neuro-variants/variant_position/credible/roussos_2024/variant_figures/roussos_2024.childhood.Astrocyte/rs816010_count_position.png",4,220,900)</f>
        <v/>
      </c>
      <c r="T3505">
        <f>IMAGE("https://mitra.stanford.edu/kundaje/oak/projects/neuro-variants/variant_position/credible/roussos_2024/variant_figures/roussos_2024.childhood.Astrocyte/rs816010_profile_position.png",4,220,900)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-0.01222977676</v>
      </c>
      <c r="G3506" t="n">
        <v>0.6940717054875556</v>
      </c>
      <c r="H3506" t="n">
        <v>0.007911059301341899</v>
      </c>
      <c r="I3506" t="n">
        <v>0.9042430384126976</v>
      </c>
      <c r="J3506" t="n">
        <v>0.1987092883912283</v>
      </c>
      <c r="K3506" t="n">
        <v>0.2038935323404508</v>
      </c>
      <c r="L3506" t="b">
        <v>0</v>
      </c>
      <c r="M3506" t="b">
        <v>0</v>
      </c>
      <c r="N3506" t="inlineStr">
        <is>
          <t>ref</t>
        </is>
      </c>
      <c r="O3506" t="n">
        <v>85</v>
      </c>
      <c r="P3506" t="n">
        <v>0.00827</v>
      </c>
      <c r="Q3506" t="n">
        <v>-85</v>
      </c>
      <c r="R3506" t="n">
        <v>0.1526</v>
      </c>
      <c r="S3506">
        <f>IMAGE("https://mitra.stanford.edu/kundaje/oak/projects/neuro-variants/variant_position/credible/roussos_2024/variant_figures/roussos_2024.childhood.Astrocyte/rs816012_count_position.png",4,220,900)</f>
        <v/>
      </c>
      <c r="T3506">
        <f>IMAGE("https://mitra.stanford.edu/kundaje/oak/projects/neuro-variants/variant_position/credible/roussos_2024/variant_figures/roussos_2024.childhood.Astrocyte/rs816012_profile_position.png",4,220,900)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-0.01358104814</v>
      </c>
      <c r="G3507" t="n">
        <v>0.6597986936768357</v>
      </c>
      <c r="H3507" t="n">
        <v>0.0106092494995263</v>
      </c>
      <c r="I3507" t="n">
        <v>0.6474277126004793</v>
      </c>
      <c r="J3507" t="n">
        <v>0.0838412981917824</v>
      </c>
      <c r="K3507" t="n">
        <v>0.3632493735224282</v>
      </c>
      <c r="L3507" t="b">
        <v>0</v>
      </c>
      <c r="M3507" t="b">
        <v>0</v>
      </c>
      <c r="N3507" t="inlineStr">
        <is>
          <t>ref</t>
        </is>
      </c>
      <c r="O3507" t="n">
        <v>-45</v>
      </c>
      <c r="P3507" t="n">
        <v>0.02376</v>
      </c>
      <c r="Q3507" t="n">
        <v>-45</v>
      </c>
      <c r="R3507" t="n">
        <v>0.177</v>
      </c>
      <c r="S3507">
        <f>IMAGE("https://mitra.stanford.edu/kundaje/oak/projects/neuro-variants/variant_position/credible/roussos_2024/variant_figures/roussos_2024.childhood.Astrocyte/rs4958355_count_position.png",4,220,900)</f>
        <v/>
      </c>
      <c r="T3507">
        <f>IMAGE("https://mitra.stanford.edu/kundaje/oak/projects/neuro-variants/variant_position/credible/roussos_2024/variant_figures/roussos_2024.childhood.Astrocyte/rs4958355_profile_position.png",4,220,900)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0.0140373397999999</v>
      </c>
      <c r="G3508" t="n">
        <v>0.6228794444253115</v>
      </c>
      <c r="H3508" t="n">
        <v>0.009257373539073801</v>
      </c>
      <c r="I3508" t="n">
        <v>0.7891229366168527</v>
      </c>
      <c r="J3508" t="n">
        <v>0.0017074641447794</v>
      </c>
      <c r="K3508" t="n">
        <v>0.8730883403629708</v>
      </c>
      <c r="L3508" t="b">
        <v>0</v>
      </c>
      <c r="M3508" t="b">
        <v>0</v>
      </c>
      <c r="N3508" t="inlineStr">
        <is>
          <t>alt</t>
        </is>
      </c>
      <c r="O3508" t="n">
        <v>-100</v>
      </c>
      <c r="P3508" t="n">
        <v>0.00238</v>
      </c>
      <c r="Q3508" t="n">
        <v>60</v>
      </c>
      <c r="R3508" t="n">
        <v>0.0511</v>
      </c>
      <c r="S3508">
        <f>IMAGE("https://mitra.stanford.edu/kundaje/oak/projects/neuro-variants/variant_position/credible/roussos_2024/variant_figures/roussos_2024.childhood.Astrocyte/rs815620_count_position.png",4,220,900)</f>
        <v/>
      </c>
      <c r="T3508">
        <f>IMAGE("https://mitra.stanford.edu/kundaje/oak/projects/neuro-variants/variant_position/credible/roussos_2024/variant_figures/roussos_2024.childhood.Astrocyte/rs815620_profile_position.png",4,220,900)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0.2191802</v>
      </c>
      <c r="G3509" t="n">
        <v>0.0154618032777471</v>
      </c>
      <c r="H3509" t="n">
        <v>0.025813224408499</v>
      </c>
      <c r="I3509" t="n">
        <v>0.0574731853364862</v>
      </c>
      <c r="J3509" t="n">
        <v>0.32980467587186</v>
      </c>
      <c r="K3509" t="n">
        <v>0.1143829366069504</v>
      </c>
      <c r="L3509" t="b">
        <v>1</v>
      </c>
      <c r="M3509" t="b">
        <v>0</v>
      </c>
      <c r="N3509" t="inlineStr">
        <is>
          <t>alt</t>
        </is>
      </c>
      <c r="O3509" t="n">
        <v>90</v>
      </c>
      <c r="P3509" t="n">
        <v>0.06616</v>
      </c>
      <c r="Q3509" t="n">
        <v>-15</v>
      </c>
      <c r="R3509" t="n">
        <v>0.1035</v>
      </c>
      <c r="S3509">
        <f>IMAGE("https://mitra.stanford.edu/kundaje/oak/projects/neuro-variants/variant_position/credible/roussos_2024/variant_figures/roussos_2024.childhood.Astrocyte/rs890799_count_position.png",4,220,900)</f>
        <v/>
      </c>
      <c r="T3509">
        <f>IMAGE("https://mitra.stanford.edu/kundaje/oak/projects/neuro-variants/variant_position/credible/roussos_2024/variant_figures/roussos_2024.childhood.Astrocyte/rs890799_profile_position.png",4,220,900)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0.00808313534</v>
      </c>
      <c r="G3510" t="n">
        <v>0.5938553667727534</v>
      </c>
      <c r="H3510" t="n">
        <v>0.0108598527267874</v>
      </c>
      <c r="I3510" t="n">
        <v>0.6200228572498709</v>
      </c>
      <c r="J3510" t="n">
        <v>0.158786532634166</v>
      </c>
      <c r="K3510" t="n">
        <v>0.242256692849867</v>
      </c>
      <c r="L3510" t="b">
        <v>0</v>
      </c>
      <c r="M3510" t="b">
        <v>0</v>
      </c>
      <c r="N3510" t="inlineStr">
        <is>
          <t>alt</t>
        </is>
      </c>
      <c r="O3510" t="n">
        <v>65</v>
      </c>
      <c r="P3510" t="n">
        <v>0.003428</v>
      </c>
      <c r="Q3510" t="n">
        <v>-100</v>
      </c>
      <c r="R3510" t="n">
        <v>0.0711</v>
      </c>
      <c r="S3510">
        <f>IMAGE("https://mitra.stanford.edu/kundaje/oak/projects/neuro-variants/variant_position/credible/roussos_2024/variant_figures/roussos_2024.childhood.Astrocyte/rs6580052_count_position.png",4,220,900)</f>
        <v/>
      </c>
      <c r="T3510">
        <f>IMAGE("https://mitra.stanford.edu/kundaje/oak/projects/neuro-variants/variant_position/credible/roussos_2024/variant_figures/roussos_2024.childhood.Astrocyte/rs6580052_profile_position.png",4,220,900)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-0.105803804</v>
      </c>
      <c r="G3511" t="n">
        <v>0.06499624050415639</v>
      </c>
      <c r="H3511" t="n">
        <v>0.0180011508108492</v>
      </c>
      <c r="I3511" t="n">
        <v>0.1823183952104427</v>
      </c>
      <c r="J3511" t="n">
        <v>0.0080938532817353</v>
      </c>
      <c r="K3511" t="n">
        <v>0.7328130666994699</v>
      </c>
      <c r="L3511" t="b">
        <v>0</v>
      </c>
      <c r="M3511" t="b">
        <v>0</v>
      </c>
      <c r="N3511" t="inlineStr">
        <is>
          <t>ref</t>
        </is>
      </c>
      <c r="O3511" t="n">
        <v>-100</v>
      </c>
      <c r="P3511" t="n">
        <v>0.00135</v>
      </c>
      <c r="Q3511" t="n">
        <v>-75</v>
      </c>
      <c r="R3511" t="n">
        <v>0.1268</v>
      </c>
      <c r="S3511">
        <f>IMAGE("https://mitra.stanford.edu/kundaje/oak/projects/neuro-variants/variant_position/credible/roussos_2024/variant_figures/roussos_2024.childhood.Astrocyte/rs1428122_count_position.png",4,220,900)</f>
        <v/>
      </c>
      <c r="T3511">
        <f>IMAGE("https://mitra.stanford.edu/kundaje/oak/projects/neuro-variants/variant_position/credible/roussos_2024/variant_figures/roussos_2024.childhood.Astrocyte/rs1428122_profile_position.png",4,220,900)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0.09706239899999999</v>
      </c>
      <c r="G3512" t="n">
        <v>0.079918237266807</v>
      </c>
      <c r="H3512" t="n">
        <v>0.0189605906889772</v>
      </c>
      <c r="I3512" t="n">
        <v>0.1494605765394901</v>
      </c>
      <c r="J3512" t="n">
        <v>0.1020517047926541</v>
      </c>
      <c r="K3512" t="n">
        <v>0.3261523313059522</v>
      </c>
      <c r="L3512" t="b">
        <v>0</v>
      </c>
      <c r="M3512" t="b">
        <v>0</v>
      </c>
      <c r="N3512" t="inlineStr">
        <is>
          <t>alt</t>
        </is>
      </c>
      <c r="O3512" t="n">
        <v>85</v>
      </c>
      <c r="P3512" t="n">
        <v>0.002228</v>
      </c>
      <c r="Q3512" t="n">
        <v>10</v>
      </c>
      <c r="R3512" t="n">
        <v>0.01709</v>
      </c>
      <c r="S3512">
        <f>IMAGE("https://mitra.stanford.edu/kundaje/oak/projects/neuro-variants/variant_position/credible/roussos_2024/variant_figures/roussos_2024.childhood.Astrocyte/rs77075605_count_position.png",4,220,900)</f>
        <v/>
      </c>
      <c r="T3512">
        <f>IMAGE("https://mitra.stanford.edu/kundaje/oak/projects/neuro-variants/variant_position/credible/roussos_2024/variant_figures/roussos_2024.childhood.Astrocyte/rs77075605_profile_position.png",4,220,900)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-0.211167155</v>
      </c>
      <c r="G3513" t="n">
        <v>0.0161557188946812</v>
      </c>
      <c r="H3513" t="n">
        <v>0.0314437533411915</v>
      </c>
      <c r="I3513" t="n">
        <v>0.0256998492648929</v>
      </c>
      <c r="J3513" t="n">
        <v>0.3263408974681901</v>
      </c>
      <c r="K3513" t="n">
        <v>0.1186450310983268</v>
      </c>
      <c r="L3513" t="b">
        <v>1</v>
      </c>
      <c r="M3513" t="b">
        <v>0</v>
      </c>
      <c r="N3513" t="inlineStr">
        <is>
          <t>ref</t>
        </is>
      </c>
      <c r="O3513" t="n">
        <v>45</v>
      </c>
      <c r="P3513" t="n">
        <v>0.00612</v>
      </c>
      <c r="Q3513" t="n">
        <v>45</v>
      </c>
      <c r="R3513" t="n">
        <v>0.1499</v>
      </c>
      <c r="S3513">
        <f>IMAGE("https://mitra.stanford.edu/kundaje/oak/projects/neuro-variants/variant_position/credible/roussos_2024/variant_figures/roussos_2024.childhood.Astrocyte/rs80336253_count_position.png",4,220,900)</f>
        <v/>
      </c>
      <c r="T3513">
        <f>IMAGE("https://mitra.stanford.edu/kundaje/oak/projects/neuro-variants/variant_position/credible/roussos_2024/variant_figures/roussos_2024.childhood.Astrocyte/rs80336253_profile_position.png",4,220,900)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0.01878568712</v>
      </c>
      <c r="G3514" t="n">
        <v>0.5412952409725957</v>
      </c>
      <c r="H3514" t="n">
        <v>0.0077389092273424</v>
      </c>
      <c r="I3514" t="n">
        <v>0.9104661406668936</v>
      </c>
      <c r="J3514" t="n">
        <v>0.1067726103516444</v>
      </c>
      <c r="K3514" t="n">
        <v>0.3149979397840421</v>
      </c>
      <c r="L3514" t="b">
        <v>0</v>
      </c>
      <c r="M3514" t="b">
        <v>0</v>
      </c>
      <c r="N3514" t="inlineStr">
        <is>
          <t>alt</t>
        </is>
      </c>
      <c r="O3514" t="n">
        <v>30</v>
      </c>
      <c r="P3514" t="n">
        <v>0.01117</v>
      </c>
      <c r="Q3514" t="n">
        <v>10</v>
      </c>
      <c r="R3514" t="n">
        <v>0.002686</v>
      </c>
      <c r="S3514">
        <f>IMAGE("https://mitra.stanford.edu/kundaje/oak/projects/neuro-variants/variant_position/credible/roussos_2024/variant_figures/roussos_2024.childhood.Astrocyte/rs73802964_count_position.png",4,220,900)</f>
        <v/>
      </c>
      <c r="T3514">
        <f>IMAGE("https://mitra.stanford.edu/kundaje/oak/projects/neuro-variants/variant_position/credible/roussos_2024/variant_figures/roussos_2024.childhood.Astrocyte/rs73802964_profile_position.png",4,220,900)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-0.0296154075999999</v>
      </c>
      <c r="G3515" t="n">
        <v>0.3938564013055929</v>
      </c>
      <c r="H3515" t="n">
        <v>0.008816687872005201</v>
      </c>
      <c r="I3515" t="n">
        <v>0.8391116722993693</v>
      </c>
      <c r="J3515" t="n">
        <v>0.009125811942326201</v>
      </c>
      <c r="K3515" t="n">
        <v>0.7042973021457503</v>
      </c>
      <c r="L3515" t="b">
        <v>0</v>
      </c>
      <c r="M3515" t="b">
        <v>0</v>
      </c>
      <c r="N3515" t="inlineStr">
        <is>
          <t>ref</t>
        </is>
      </c>
      <c r="O3515" t="n">
        <v>0</v>
      </c>
      <c r="P3515" t="n">
        <v>0</v>
      </c>
      <c r="Q3515" t="n">
        <v>-30</v>
      </c>
      <c r="R3515" t="n">
        <v>0.05145</v>
      </c>
      <c r="S3515">
        <f>IMAGE("https://mitra.stanford.edu/kundaje/oak/projects/neuro-variants/variant_position/credible/roussos_2024/variant_figures/roussos_2024.childhood.Astrocyte/rs73802970_count_position.png",4,220,900)</f>
        <v/>
      </c>
      <c r="T3515">
        <f>IMAGE("https://mitra.stanford.edu/kundaje/oak/projects/neuro-variants/variant_position/credible/roussos_2024/variant_figures/roussos_2024.childhood.Astrocyte/rs73802970_profile_position.png",4,220,900)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0.0334731758</v>
      </c>
      <c r="G3516" t="n">
        <v>0.3423468443817501</v>
      </c>
      <c r="H3516" t="n">
        <v>0.0376837286130777</v>
      </c>
      <c r="I3516" t="n">
        <v>0.0124859696453528</v>
      </c>
      <c r="J3516" t="n">
        <v>0.08548083014662659</v>
      </c>
      <c r="K3516" t="n">
        <v>0.3583155933873226</v>
      </c>
      <c r="L3516" t="b">
        <v>1</v>
      </c>
      <c r="M3516" t="b">
        <v>0</v>
      </c>
      <c r="N3516" t="inlineStr">
        <is>
          <t>alt</t>
        </is>
      </c>
      <c r="O3516" t="n">
        <v>-100</v>
      </c>
      <c r="P3516" t="n">
        <v>0.3113</v>
      </c>
      <c r="Q3516" t="n">
        <v>85</v>
      </c>
      <c r="R3516" t="n">
        <v>0.07530000000000001</v>
      </c>
      <c r="S3516">
        <f>IMAGE("https://mitra.stanford.edu/kundaje/oak/projects/neuro-variants/variant_position/credible/roussos_2024/variant_figures/roussos_2024.childhood.Astrocyte/rs531293_count_position.png",4,220,900)</f>
        <v/>
      </c>
      <c r="T3516">
        <f>IMAGE("https://mitra.stanford.edu/kundaje/oak/projects/neuro-variants/variant_position/credible/roussos_2024/variant_figures/roussos_2024.childhood.Astrocyte/rs531293_profile_position.png",4,220,900)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0.017867357</v>
      </c>
      <c r="G3517" t="n">
        <v>0.1812569083072175</v>
      </c>
      <c r="H3517" t="n">
        <v>0.017275322611512</v>
      </c>
      <c r="I3517" t="n">
        <v>0.2040622924171085</v>
      </c>
      <c r="J3517" t="n">
        <v>0.4348423438895377</v>
      </c>
      <c r="K3517" t="n">
        <v>0.0742812006813347</v>
      </c>
      <c r="L3517" t="b">
        <v>0</v>
      </c>
      <c r="M3517" t="b">
        <v>0</v>
      </c>
      <c r="N3517" t="inlineStr">
        <is>
          <t>alt</t>
        </is>
      </c>
      <c r="O3517" t="n">
        <v>100</v>
      </c>
      <c r="P3517" t="n">
        <v>0.02899</v>
      </c>
      <c r="Q3517" t="n">
        <v>100</v>
      </c>
      <c r="R3517" t="n">
        <v>0.3076</v>
      </c>
      <c r="S3517">
        <f>IMAGE("https://mitra.stanford.edu/kundaje/oak/projects/neuro-variants/variant_position/credible/roussos_2024/variant_figures/roussos_2024.childhood.Astrocyte/rs2434528_count_position.png",4,220,900)</f>
        <v/>
      </c>
      <c r="T3517">
        <f>IMAGE("https://mitra.stanford.edu/kundaje/oak/projects/neuro-variants/variant_position/credible/roussos_2024/variant_figures/roussos_2024.childhood.Astrocyte/rs2434528_profile_position.png",4,220,900)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-0.0664060626</v>
      </c>
      <c r="G3518" t="n">
        <v>0.144303128292179</v>
      </c>
      <c r="H3518" t="n">
        <v>0.0140156361589606</v>
      </c>
      <c r="I3518" t="n">
        <v>0.3592560912604498</v>
      </c>
      <c r="J3518" t="n">
        <v>0.009493714364223299</v>
      </c>
      <c r="K3518" t="n">
        <v>0.7109345092338313</v>
      </c>
      <c r="L3518" t="b">
        <v>0</v>
      </c>
      <c r="M3518" t="b">
        <v>0</v>
      </c>
      <c r="N3518" t="inlineStr">
        <is>
          <t>ref</t>
        </is>
      </c>
      <c r="O3518" t="n">
        <v>10</v>
      </c>
      <c r="P3518" t="n">
        <v>0.001629</v>
      </c>
      <c r="Q3518" t="n">
        <v>10</v>
      </c>
      <c r="R3518" t="n">
        <v>0.0752</v>
      </c>
      <c r="S3518">
        <f>IMAGE("https://mitra.stanford.edu/kundaje/oak/projects/neuro-variants/variant_position/credible/roussos_2024/variant_figures/roussos_2024.childhood.Astrocyte/rs2434535_count_position.png",4,220,900)</f>
        <v/>
      </c>
      <c r="T3518">
        <f>IMAGE("https://mitra.stanford.edu/kundaje/oak/projects/neuro-variants/variant_position/credible/roussos_2024/variant_figures/roussos_2024.childhood.Astrocyte/rs2434535_profile_position.png",4,220,900)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-0.1288124966</v>
      </c>
      <c r="G3519" t="n">
        <v>0.0477416033747308</v>
      </c>
      <c r="H3519" t="n">
        <v>0.0288078515610842</v>
      </c>
      <c r="I3519" t="n">
        <v>0.0372471922456422</v>
      </c>
      <c r="J3519" t="n">
        <v>0.0033385999862608</v>
      </c>
      <c r="K3519" t="n">
        <v>0.8243443913348601</v>
      </c>
      <c r="L3519" t="b">
        <v>0</v>
      </c>
      <c r="M3519" t="b">
        <v>0</v>
      </c>
      <c r="N3519" t="inlineStr">
        <is>
          <t>ref</t>
        </is>
      </c>
      <c r="O3519" t="n">
        <v>-70</v>
      </c>
      <c r="P3519" t="n">
        <v>0.009860000000000001</v>
      </c>
      <c r="Q3519" t="n">
        <v>80</v>
      </c>
      <c r="R3519" t="n">
        <v>0.05328</v>
      </c>
      <c r="S3519">
        <f>IMAGE("https://mitra.stanford.edu/kundaje/oak/projects/neuro-variants/variant_position/credible/roussos_2024/variant_figures/roussos_2024.childhood.Astrocyte/rs693446_count_position.png",4,220,900)</f>
        <v/>
      </c>
      <c r="T3519">
        <f>IMAGE("https://mitra.stanford.edu/kundaje/oak/projects/neuro-variants/variant_position/credible/roussos_2024/variant_figures/roussos_2024.childhood.Astrocyte/rs693446_profile_position.png",4,220,900)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-0.1103713844</v>
      </c>
      <c r="G3520" t="n">
        <v>0.06286061349447571</v>
      </c>
      <c r="H3520" t="n">
        <v>0.0216891255545379</v>
      </c>
      <c r="I3520" t="n">
        <v>0.1070817782483896</v>
      </c>
      <c r="J3520" t="n">
        <v>0.0220710921816918</v>
      </c>
      <c r="K3520" t="n">
        <v>0.5989694501582534</v>
      </c>
      <c r="L3520" t="b">
        <v>0</v>
      </c>
      <c r="M3520" t="b">
        <v>0</v>
      </c>
      <c r="N3520" t="inlineStr">
        <is>
          <t>ref</t>
        </is>
      </c>
      <c r="O3520" t="n">
        <v>-95</v>
      </c>
      <c r="P3520" t="n">
        <v>0.005646</v>
      </c>
      <c r="Q3520" t="n">
        <v>-95</v>
      </c>
      <c r="R3520" t="n">
        <v>0.09619999999999999</v>
      </c>
      <c r="S3520">
        <f>IMAGE("https://mitra.stanford.edu/kundaje/oak/projects/neuro-variants/variant_position/credible/roussos_2024/variant_figures/roussos_2024.childhood.Astrocyte/rs73281462_count_position.png",4,220,900)</f>
        <v/>
      </c>
      <c r="T3520">
        <f>IMAGE("https://mitra.stanford.edu/kundaje/oak/projects/neuro-variants/variant_position/credible/roussos_2024/variant_figures/roussos_2024.childhood.Astrocyte/rs73281462_profile_position.png",4,220,900)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0.000199905754</v>
      </c>
      <c r="G3521" t="n">
        <v>0.7669315693364803</v>
      </c>
      <c r="H3521" t="n">
        <v>0.0164391370567976</v>
      </c>
      <c r="I3521" t="n">
        <v>0.2294781932135787</v>
      </c>
      <c r="J3521" t="n">
        <v>0.0499492416783067</v>
      </c>
      <c r="K3521" t="n">
        <v>0.4528946867149388</v>
      </c>
      <c r="L3521" t="b">
        <v>0</v>
      </c>
      <c r="M3521" t="b">
        <v>0</v>
      </c>
      <c r="N3521" t="inlineStr">
        <is>
          <t>alt</t>
        </is>
      </c>
      <c r="O3521" t="n">
        <v>90</v>
      </c>
      <c r="P3521" t="n">
        <v>0.012375</v>
      </c>
      <c r="Q3521" t="n">
        <v>90</v>
      </c>
      <c r="R3521" t="n">
        <v>0.0951</v>
      </c>
      <c r="S3521">
        <f>IMAGE("https://mitra.stanford.edu/kundaje/oak/projects/neuro-variants/variant_position/credible/roussos_2024/variant_figures/roussos_2024.childhood.Astrocyte/rs73281464_count_position.png",4,220,900)</f>
        <v/>
      </c>
      <c r="T3521">
        <f>IMAGE("https://mitra.stanford.edu/kundaje/oak/projects/neuro-variants/variant_position/credible/roussos_2024/variant_figures/roussos_2024.childhood.Astrocyte/rs73281464_profile_position.png",4,220,900)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-0.0002265281079999</v>
      </c>
      <c r="G3522" t="n">
        <v>0.4816132823753783</v>
      </c>
      <c r="H3522" t="n">
        <v>0.0126429971556034</v>
      </c>
      <c r="I3522" t="n">
        <v>0.4534382538487975</v>
      </c>
      <c r="J3522" t="n">
        <v>0.0161999190919984</v>
      </c>
      <c r="K3522" t="n">
        <v>0.681172510249854</v>
      </c>
      <c r="L3522" t="b">
        <v>0</v>
      </c>
      <c r="M3522" t="b">
        <v>0</v>
      </c>
      <c r="N3522" t="inlineStr">
        <is>
          <t>ref</t>
        </is>
      </c>
      <c r="O3522" t="n">
        <v>100</v>
      </c>
      <c r="P3522" t="n">
        <v>0.00553</v>
      </c>
      <c r="Q3522" t="n">
        <v>100</v>
      </c>
      <c r="R3522" t="n">
        <v>0.07340000000000001</v>
      </c>
      <c r="S3522">
        <f>IMAGE("https://mitra.stanford.edu/kundaje/oak/projects/neuro-variants/variant_position/credible/roussos_2024/variant_figures/roussos_2024.childhood.Astrocyte/rs73279685_count_position.png",4,220,900)</f>
        <v/>
      </c>
      <c r="T3522">
        <f>IMAGE("https://mitra.stanford.edu/kundaje/oak/projects/neuro-variants/variant_position/credible/roussos_2024/variant_figures/roussos_2024.childhood.Astrocyte/rs73279685_profile_position.png",4,220,900)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0.0464536656</v>
      </c>
      <c r="G3523" t="n">
        <v>0.2292945918767033</v>
      </c>
      <c r="H3523" t="n">
        <v>0.0305546799336251</v>
      </c>
      <c r="I3523" t="n">
        <v>0.0282622016767315</v>
      </c>
      <c r="J3523" t="n">
        <v>0.0219718653874042</v>
      </c>
      <c r="K3523" t="n">
        <v>0.5828805434414581</v>
      </c>
      <c r="L3523" t="b">
        <v>0</v>
      </c>
      <c r="M3523" t="b">
        <v>0</v>
      </c>
      <c r="N3523" t="inlineStr">
        <is>
          <t>alt</t>
        </is>
      </c>
      <c r="O3523" t="n">
        <v>-100</v>
      </c>
      <c r="P3523" t="n">
        <v>0.013535</v>
      </c>
      <c r="Q3523" t="n">
        <v>-100</v>
      </c>
      <c r="R3523" t="n">
        <v>0.1098</v>
      </c>
      <c r="S3523">
        <f>IMAGE("https://mitra.stanford.edu/kundaje/oak/projects/neuro-variants/variant_position/credible/roussos_2024/variant_figures/roussos_2024.childhood.Astrocyte/rs7702643_count_position.png",4,220,900)</f>
        <v/>
      </c>
      <c r="T3523">
        <f>IMAGE("https://mitra.stanford.edu/kundaje/oak/projects/neuro-variants/variant_position/credible/roussos_2024/variant_figures/roussos_2024.childhood.Astrocyte/rs7702643_profile_position.png",4,220,900)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-0.0696766904</v>
      </c>
      <c r="G3524" t="n">
        <v>0.1356118882202002</v>
      </c>
      <c r="H3524" t="n">
        <v>0.0138795864325435</v>
      </c>
      <c r="I3524" t="n">
        <v>0.3701625537077136</v>
      </c>
      <c r="J3524" t="n">
        <v>0.0182813919229389</v>
      </c>
      <c r="K3524" t="n">
        <v>0.6059022276303696</v>
      </c>
      <c r="L3524" t="b">
        <v>0</v>
      </c>
      <c r="M3524" t="b">
        <v>0</v>
      </c>
      <c r="N3524" t="inlineStr">
        <is>
          <t>ref</t>
        </is>
      </c>
      <c r="O3524" t="n">
        <v>-100</v>
      </c>
      <c r="P3524" t="n">
        <v>0.02007</v>
      </c>
      <c r="Q3524" t="n">
        <v>-75</v>
      </c>
      <c r="R3524" t="n">
        <v>0.02014</v>
      </c>
      <c r="S3524">
        <f>IMAGE("https://mitra.stanford.edu/kundaje/oak/projects/neuro-variants/variant_position/credible/roussos_2024/variant_figures/roussos_2024.childhood.Astrocyte/rs6556578_count_position.png",4,220,900)</f>
        <v/>
      </c>
      <c r="T3524">
        <f>IMAGE("https://mitra.stanford.edu/kundaje/oak/projects/neuro-variants/variant_position/credible/roussos_2024/variant_figures/roussos_2024.childhood.Astrocyte/rs6556578_profile_position.png",4,220,900)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0.1169833288</v>
      </c>
      <c r="G3525" t="n">
        <v>0.0647375340972567</v>
      </c>
      <c r="H3525" t="n">
        <v>0.0182241826951453</v>
      </c>
      <c r="I3525" t="n">
        <v>0.1912957998537222</v>
      </c>
      <c r="J3525" t="n">
        <v>0.1397983406226862</v>
      </c>
      <c r="K3525" t="n">
        <v>0.2654894216443733</v>
      </c>
      <c r="L3525" t="b">
        <v>0</v>
      </c>
      <c r="M3525" t="b">
        <v>0</v>
      </c>
      <c r="N3525" t="inlineStr">
        <is>
          <t>alt</t>
        </is>
      </c>
      <c r="O3525" t="n">
        <v>25</v>
      </c>
      <c r="P3525" t="n">
        <v>0.001678</v>
      </c>
      <c r="Q3525" t="n">
        <v>-15</v>
      </c>
      <c r="R3525" t="n">
        <v>0.03223</v>
      </c>
      <c r="S3525">
        <f>IMAGE("https://mitra.stanford.edu/kundaje/oak/projects/neuro-variants/variant_position/credible/roussos_2024/variant_figures/roussos_2024.childhood.Astrocyte/rs10036164_count_position.png",4,220,900)</f>
        <v/>
      </c>
      <c r="T3525">
        <f>IMAGE("https://mitra.stanford.edu/kundaje/oak/projects/neuro-variants/variant_position/credible/roussos_2024/variant_figures/roussos_2024.childhood.Astrocyte/rs10036164_profile_position.png",4,220,900)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-0.215069862</v>
      </c>
      <c r="G3526" t="n">
        <v>0.0142132946036433</v>
      </c>
      <c r="H3526" t="n">
        <v>0.0219847196181087</v>
      </c>
      <c r="I3526" t="n">
        <v>0.09164288841479171</v>
      </c>
      <c r="J3526" t="n">
        <v>0.1632654774717012</v>
      </c>
      <c r="K3526" t="n">
        <v>0.2342776350198382</v>
      </c>
      <c r="L3526" t="b">
        <v>1</v>
      </c>
      <c r="M3526" t="b">
        <v>0</v>
      </c>
      <c r="N3526" t="inlineStr">
        <is>
          <t>ref</t>
        </is>
      </c>
      <c r="O3526" t="n">
        <v>-85</v>
      </c>
      <c r="P3526" t="n">
        <v>0.001965</v>
      </c>
      <c r="Q3526" t="n">
        <v>65</v>
      </c>
      <c r="R3526" t="n">
        <v>0.06494</v>
      </c>
      <c r="S3526">
        <f>IMAGE("https://mitra.stanford.edu/kundaje/oak/projects/neuro-variants/variant_position/credible/roussos_2024/variant_figures/roussos_2024.childhood.Astrocyte/rs35414747_count_position.png",4,220,900)</f>
        <v/>
      </c>
      <c r="T3526">
        <f>IMAGE("https://mitra.stanford.edu/kundaje/oak/projects/neuro-variants/variant_position/credible/roussos_2024/variant_figures/roussos_2024.childhood.Astrocyte/rs35414747_profile_position.png",4,220,900)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0.00452445754</v>
      </c>
      <c r="G3527" t="n">
        <v>0.7550808728555292</v>
      </c>
      <c r="H3527" t="n">
        <v>0.0267480202143472</v>
      </c>
      <c r="I3527" t="n">
        <v>0.0466441271618532</v>
      </c>
      <c r="J3527" t="n">
        <v>0.0108493050307984</v>
      </c>
      <c r="K3527" t="n">
        <v>0.6849474356311765</v>
      </c>
      <c r="L3527" t="b">
        <v>0</v>
      </c>
      <c r="M3527" t="b">
        <v>0</v>
      </c>
      <c r="N3527" t="inlineStr">
        <is>
          <t>alt</t>
        </is>
      </c>
      <c r="O3527" t="n">
        <v>-75</v>
      </c>
      <c r="P3527" t="n">
        <v>0.0231</v>
      </c>
      <c r="Q3527" t="n">
        <v>90</v>
      </c>
      <c r="R3527" t="n">
        <v>0.1039</v>
      </c>
      <c r="S3527">
        <f>IMAGE("https://mitra.stanford.edu/kundaje/oak/projects/neuro-variants/variant_position/credible/roussos_2024/variant_figures/roussos_2024.childhood.Astrocyte/rs9367911_count_position.png",4,220,900)</f>
        <v/>
      </c>
      <c r="T3527">
        <f>IMAGE("https://mitra.stanford.edu/kundaje/oak/projects/neuro-variants/variant_position/credible/roussos_2024/variant_figures/roussos_2024.childhood.Astrocyte/rs9367911_profile_position.png",4,220,900)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-0.0425141624</v>
      </c>
      <c r="G3528" t="n">
        <v>0.2906400605312724</v>
      </c>
      <c r="H3528" t="n">
        <v>0.0114035683468604</v>
      </c>
      <c r="I3528" t="n">
        <v>0.5783195536676438</v>
      </c>
      <c r="J3528" t="n">
        <v>0.6376474090357446</v>
      </c>
      <c r="K3528" t="n">
        <v>0.0266097632893161</v>
      </c>
      <c r="L3528" t="b">
        <v>0</v>
      </c>
      <c r="M3528" t="b">
        <v>0</v>
      </c>
      <c r="N3528" t="inlineStr">
        <is>
          <t>ref</t>
        </is>
      </c>
      <c r="O3528" t="n">
        <v>100</v>
      </c>
      <c r="P3528" t="n">
        <v>0.063</v>
      </c>
      <c r="Q3528" t="n">
        <v>80</v>
      </c>
      <c r="R3528" t="n">
        <v>0.7675999999999999</v>
      </c>
      <c r="S3528">
        <f>IMAGE("https://mitra.stanford.edu/kundaje/oak/projects/neuro-variants/variant_position/credible/roussos_2024/variant_figures/roussos_2024.childhood.Astrocyte/rs2857504_count_position.png",4,220,900)</f>
        <v/>
      </c>
      <c r="T3528">
        <f>IMAGE("https://mitra.stanford.edu/kundaje/oak/projects/neuro-variants/variant_position/credible/roussos_2024/variant_figures/roussos_2024.childhood.Astrocyte/rs2857504_profile_position.png",4,220,900)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0.0454554374</v>
      </c>
      <c r="G3529" t="n">
        <v>0.2372050210978353</v>
      </c>
      <c r="H3529" t="n">
        <v>0.0152309662193421</v>
      </c>
      <c r="I3529" t="n">
        <v>0.2840345333520367</v>
      </c>
      <c r="J3529" t="n">
        <v>0.6056360819155351</v>
      </c>
      <c r="K3529" t="n">
        <v>0.0328229319795209</v>
      </c>
      <c r="L3529" t="b">
        <v>0</v>
      </c>
      <c r="M3529" t="b">
        <v>0</v>
      </c>
      <c r="N3529" t="inlineStr">
        <is>
          <t>alt</t>
        </is>
      </c>
      <c r="O3529" t="n">
        <v>80</v>
      </c>
      <c r="P3529" t="n">
        <v>0.010284</v>
      </c>
      <c r="Q3529" t="n">
        <v>80</v>
      </c>
      <c r="R3529" t="n">
        <v>0.356</v>
      </c>
      <c r="S3529">
        <f>IMAGE("https://mitra.stanford.edu/kundaje/oak/projects/neuro-variants/variant_position/credible/roussos_2024/variant_figures/roussos_2024.childhood.Astrocyte/rs2245173_count_position.png",4,220,900)</f>
        <v/>
      </c>
      <c r="T3529">
        <f>IMAGE("https://mitra.stanford.edu/kundaje/oak/projects/neuro-variants/variant_position/credible/roussos_2024/variant_figures/roussos_2024.childhood.Astrocyte/rs2245173_profile_position.png",4,220,900)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0.008631676059999999</v>
      </c>
      <c r="G3530" t="n">
        <v>0.7503083150338683</v>
      </c>
      <c r="H3530" t="n">
        <v>0.0271605114738128</v>
      </c>
      <c r="I3530" t="n">
        <v>0.042987917679234</v>
      </c>
      <c r="J3530" t="n">
        <v>0.7269797653667956</v>
      </c>
      <c r="K3530" t="n">
        <v>0.0150101620708577</v>
      </c>
      <c r="L3530" t="b">
        <v>0</v>
      </c>
      <c r="M3530" t="b">
        <v>0</v>
      </c>
      <c r="N3530" t="inlineStr">
        <is>
          <t>alt</t>
        </is>
      </c>
      <c r="O3530" t="n">
        <v>25</v>
      </c>
      <c r="P3530" t="n">
        <v>0.004517</v>
      </c>
      <c r="Q3530" t="n">
        <v>100</v>
      </c>
      <c r="R3530" t="n">
        <v>0.207</v>
      </c>
      <c r="S3530">
        <f>IMAGE("https://mitra.stanford.edu/kundaje/oak/projects/neuro-variants/variant_position/credible/roussos_2024/variant_figures/roussos_2024.childhood.Astrocyte/rs2857513_count_position.png",4,220,900)</f>
        <v/>
      </c>
      <c r="T3530">
        <f>IMAGE("https://mitra.stanford.edu/kundaje/oak/projects/neuro-variants/variant_position/credible/roussos_2024/variant_figures/roussos_2024.childhood.Astrocyte/rs2857513_profile_position.png",4,220,900)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0.1367091919999999</v>
      </c>
      <c r="G3531" t="n">
        <v>0.0405932980191662</v>
      </c>
      <c r="H3531" t="n">
        <v>0.0273367597040604</v>
      </c>
      <c r="I3531" t="n">
        <v>0.0489210777678566</v>
      </c>
      <c r="J3531" t="n">
        <v>0.3240602077656415</v>
      </c>
      <c r="K3531" t="n">
        <v>0.1191294580247906</v>
      </c>
      <c r="L3531" t="b">
        <v>0</v>
      </c>
      <c r="M3531" t="b">
        <v>0</v>
      </c>
      <c r="N3531" t="inlineStr">
        <is>
          <t>alt</t>
        </is>
      </c>
      <c r="O3531" t="n">
        <v>85</v>
      </c>
      <c r="P3531" t="n">
        <v>0.00705</v>
      </c>
      <c r="Q3531" t="n">
        <v>-60</v>
      </c>
      <c r="R3531" t="n">
        <v>0.06287</v>
      </c>
      <c r="S3531">
        <f>IMAGE("https://mitra.stanford.edu/kundaje/oak/projects/neuro-variants/variant_position/credible/roussos_2024/variant_figures/roussos_2024.childhood.Astrocyte/rs13195969_count_position.png",4,220,900)</f>
        <v/>
      </c>
      <c r="T3531">
        <f>IMAGE("https://mitra.stanford.edu/kundaje/oak/projects/neuro-variants/variant_position/credible/roussos_2024/variant_figures/roussos_2024.childhood.Astrocyte/rs13195969_profile_position.png",4,220,900)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-0.0363928256</v>
      </c>
      <c r="G3532" t="n">
        <v>0.3193165175460451</v>
      </c>
      <c r="H3532" t="n">
        <v>0.0420794797400324</v>
      </c>
      <c r="I3532" t="n">
        <v>0.0079043189652517</v>
      </c>
      <c r="J3532" t="n">
        <v>0.07018616473174411</v>
      </c>
      <c r="K3532" t="n">
        <v>0.3908364564374655</v>
      </c>
      <c r="L3532" t="b">
        <v>1</v>
      </c>
      <c r="M3532" t="b">
        <v>1</v>
      </c>
      <c r="N3532" t="inlineStr">
        <is>
          <t>ref</t>
        </is>
      </c>
      <c r="O3532" t="n">
        <v>50</v>
      </c>
      <c r="P3532" t="n">
        <v>0.003967</v>
      </c>
      <c r="Q3532" t="n">
        <v>-30</v>
      </c>
      <c r="R3532" t="n">
        <v>0.1075</v>
      </c>
      <c r="S3532">
        <f>IMAGE("https://mitra.stanford.edu/kundaje/oak/projects/neuro-variants/variant_position/credible/roussos_2024/variant_figures/roussos_2024.childhood.Astrocyte/rs56240592_count_position.png",4,220,900)</f>
        <v/>
      </c>
      <c r="T3532">
        <f>IMAGE("https://mitra.stanford.edu/kundaje/oak/projects/neuro-variants/variant_position/credible/roussos_2024/variant_figures/roussos_2024.childhood.Astrocyte/rs56240592_profile_position.png",4,220,900)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-0.0449564458</v>
      </c>
      <c r="G3533" t="n">
        <v>0.2522579950295847</v>
      </c>
      <c r="H3533" t="n">
        <v>0.0081889712190985</v>
      </c>
      <c r="I3533" t="n">
        <v>0.8716275424150367</v>
      </c>
      <c r="J3533" t="n">
        <v>0.6598436796348455</v>
      </c>
      <c r="K3533" t="n">
        <v>0.0218234248754082</v>
      </c>
      <c r="L3533" t="b">
        <v>0</v>
      </c>
      <c r="M3533" t="b">
        <v>0</v>
      </c>
      <c r="N3533" t="inlineStr">
        <is>
          <t>ref</t>
        </is>
      </c>
      <c r="O3533" t="n">
        <v>-100</v>
      </c>
      <c r="P3533" t="n">
        <v>0.0985</v>
      </c>
      <c r="Q3533" t="n">
        <v>-100</v>
      </c>
      <c r="R3533" t="n">
        <v>0.768</v>
      </c>
      <c r="S3533">
        <f>IMAGE("https://mitra.stanford.edu/kundaje/oak/projects/neuro-variants/variant_position/credible/roussos_2024/variant_figures/roussos_2024.childhood.Astrocyte/rs9463650_count_position.png",4,220,900)</f>
        <v/>
      </c>
      <c r="T3533">
        <f>IMAGE("https://mitra.stanford.edu/kundaje/oak/projects/neuro-variants/variant_position/credible/roussos_2024/variant_figures/roussos_2024.childhood.Astrocyte/rs9463650_profile_position.png",4,220,900)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-0.0451238946</v>
      </c>
      <c r="G3534" t="n">
        <v>0.249554224649221</v>
      </c>
      <c r="H3534" t="n">
        <v>0.0110443296569134</v>
      </c>
      <c r="I3534" t="n">
        <v>0.6096190877069826</v>
      </c>
      <c r="J3534" t="n">
        <v>0.0039568592429758</v>
      </c>
      <c r="K3534" t="n">
        <v>0.7986441441470388</v>
      </c>
      <c r="L3534" t="b">
        <v>0</v>
      </c>
      <c r="M3534" t="b">
        <v>0</v>
      </c>
      <c r="N3534" t="inlineStr">
        <is>
          <t>ref</t>
        </is>
      </c>
      <c r="O3534" t="n">
        <v>95</v>
      </c>
      <c r="P3534" t="n">
        <v>0.0324</v>
      </c>
      <c r="Q3534" t="n">
        <v>20</v>
      </c>
      <c r="R3534" t="n">
        <v>0.07733</v>
      </c>
      <c r="S3534">
        <f>IMAGE("https://mitra.stanford.edu/kundaje/oak/projects/neuro-variants/variant_position/credible/roussos_2024/variant_figures/roussos_2024.childhood.Astrocyte/rs9463664_count_position.png",4,220,900)</f>
        <v/>
      </c>
      <c r="T3534">
        <f>IMAGE("https://mitra.stanford.edu/kundaje/oak/projects/neuro-variants/variant_position/credible/roussos_2024/variant_figures/roussos_2024.childhood.Astrocyte/rs9463664_profile_position.png",4,220,900)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0.02579191502</v>
      </c>
      <c r="G3535" t="n">
        <v>0.4391286507694928</v>
      </c>
      <c r="H3535" t="n">
        <v>0.0174472256847201</v>
      </c>
      <c r="I3535" t="n">
        <v>0.1926792219335445</v>
      </c>
      <c r="J3535" t="n">
        <v>0.0892308396876645</v>
      </c>
      <c r="K3535" t="n">
        <v>0.3429618433766925</v>
      </c>
      <c r="L3535" t="b">
        <v>0</v>
      </c>
      <c r="M3535" t="b">
        <v>0</v>
      </c>
      <c r="N3535" t="inlineStr">
        <is>
          <t>alt</t>
        </is>
      </c>
      <c r="O3535" t="n">
        <v>-20</v>
      </c>
      <c r="P3535" t="n">
        <v>0.009690000000000001</v>
      </c>
      <c r="Q3535" t="n">
        <v>95</v>
      </c>
      <c r="R3535" t="n">
        <v>0.2472</v>
      </c>
      <c r="S3535">
        <f>IMAGE("https://mitra.stanford.edu/kundaje/oak/projects/neuro-variants/variant_position/credible/roussos_2024/variant_figures/roussos_2024.childhood.Astrocyte/rs2894780_count_position.png",4,220,900)</f>
        <v/>
      </c>
      <c r="T3535">
        <f>IMAGE("https://mitra.stanford.edu/kundaje/oak/projects/neuro-variants/variant_position/credible/roussos_2024/variant_figures/roussos_2024.childhood.Astrocyte/rs2894780_profile_position.png",4,220,900)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-0.0665384326</v>
      </c>
      <c r="G3536" t="n">
        <v>0.1588051283602455</v>
      </c>
      <c r="H3536" t="n">
        <v>0.0178738878155886</v>
      </c>
      <c r="I3536" t="n">
        <v>0.182827210176315</v>
      </c>
      <c r="J3536" t="n">
        <v>0.020456748566936</v>
      </c>
      <c r="K3536" t="n">
        <v>0.5915476125970619</v>
      </c>
      <c r="L3536" t="b">
        <v>0</v>
      </c>
      <c r="M3536" t="b">
        <v>0</v>
      </c>
      <c r="N3536" t="inlineStr">
        <is>
          <t>ref</t>
        </is>
      </c>
      <c r="O3536" t="n">
        <v>-100</v>
      </c>
      <c r="P3536" t="n">
        <v>0.06168</v>
      </c>
      <c r="Q3536" t="n">
        <v>-50</v>
      </c>
      <c r="R3536" t="n">
        <v>0.195</v>
      </c>
      <c r="S3536">
        <f>IMAGE("https://mitra.stanford.edu/kundaje/oak/projects/neuro-variants/variant_position/credible/roussos_2024/variant_figures/roussos_2024.childhood.Astrocyte/rs9341835_count_position.png",4,220,900)</f>
        <v/>
      </c>
      <c r="T3536">
        <f>IMAGE("https://mitra.stanford.edu/kundaje/oak/projects/neuro-variants/variant_position/credible/roussos_2024/variant_figures/roussos_2024.childhood.Astrocyte/rs9341835_profile_position.png",4,220,900)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-0.029060462</v>
      </c>
      <c r="G3537" t="n">
        <v>0.3898716856248961</v>
      </c>
      <c r="H3537" t="n">
        <v>0.0105198582887204</v>
      </c>
      <c r="I3537" t="n">
        <v>0.6634582270422031</v>
      </c>
      <c r="J3537" t="n">
        <v>0.0216894506652011</v>
      </c>
      <c r="K3537" t="n">
        <v>0.6354755417061686</v>
      </c>
      <c r="L3537" t="b">
        <v>0</v>
      </c>
      <c r="M3537" t="b">
        <v>0</v>
      </c>
      <c r="N3537" t="inlineStr">
        <is>
          <t>ref</t>
        </is>
      </c>
      <c r="O3537" t="n">
        <v>-5</v>
      </c>
      <c r="P3537" t="n">
        <v>0.0003128</v>
      </c>
      <c r="Q3537" t="n">
        <v>100</v>
      </c>
      <c r="R3537" t="n">
        <v>0.2783</v>
      </c>
      <c r="S3537">
        <f>IMAGE("https://mitra.stanford.edu/kundaje/oak/projects/neuro-variants/variant_position/credible/roussos_2024/variant_figures/roussos_2024.childhood.Astrocyte/rs9344129_count_position.png",4,220,900)</f>
        <v/>
      </c>
      <c r="T3537">
        <f>IMAGE("https://mitra.stanford.edu/kundaje/oak/projects/neuro-variants/variant_position/credible/roussos_2024/variant_figures/roussos_2024.childhood.Astrocyte/rs9344129_profile_position.png",4,220,900)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-0.00036395488</v>
      </c>
      <c r="G3538" t="n">
        <v>0.900356597184002</v>
      </c>
      <c r="H3538" t="n">
        <v>0.0320245993099329</v>
      </c>
      <c r="I3538" t="n">
        <v>0.0242661295838349</v>
      </c>
      <c r="J3538" t="n">
        <v>0.0068580980513383</v>
      </c>
      <c r="K3538" t="n">
        <v>0.7354418105624324</v>
      </c>
      <c r="L3538" t="b">
        <v>0</v>
      </c>
      <c r="M3538" t="b">
        <v>0</v>
      </c>
      <c r="N3538" t="inlineStr">
        <is>
          <t>ref</t>
        </is>
      </c>
      <c r="O3538" t="n">
        <v>-95</v>
      </c>
      <c r="P3538" t="n">
        <v>0.02997</v>
      </c>
      <c r="Q3538" t="n">
        <v>-45</v>
      </c>
      <c r="R3538" t="n">
        <v>0.1312</v>
      </c>
      <c r="S3538">
        <f>IMAGE("https://mitra.stanford.edu/kundaje/oak/projects/neuro-variants/variant_position/credible/roussos_2024/variant_figures/roussos_2024.childhood.Astrocyte/rs10943823_count_position.png",4,220,900)</f>
        <v/>
      </c>
      <c r="T3538">
        <f>IMAGE("https://mitra.stanford.edu/kundaje/oak/projects/neuro-variants/variant_position/credible/roussos_2024/variant_figures/roussos_2024.childhood.Astrocyte/rs10943823_profile_position.png",4,220,900)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-0.0031131652319999</v>
      </c>
      <c r="G3539" t="n">
        <v>0.585627290318956</v>
      </c>
      <c r="H3539" t="n">
        <v>0.0094632656475</v>
      </c>
      <c r="I3539" t="n">
        <v>0.7273190269164256</v>
      </c>
      <c r="J3539" t="n">
        <v>0.1145886286093745</v>
      </c>
      <c r="K3539" t="n">
        <v>0.3000969692327222</v>
      </c>
      <c r="L3539" t="b">
        <v>0</v>
      </c>
      <c r="M3539" t="b">
        <v>0</v>
      </c>
      <c r="N3539" t="inlineStr">
        <is>
          <t>ref</t>
        </is>
      </c>
      <c r="O3539" t="n">
        <v>75</v>
      </c>
      <c r="P3539" t="n">
        <v>0.01309</v>
      </c>
      <c r="Q3539" t="n">
        <v>-20</v>
      </c>
      <c r="R3539" t="n">
        <v>0.02466</v>
      </c>
      <c r="S3539">
        <f>IMAGE("https://mitra.stanford.edu/kundaje/oak/projects/neuro-variants/variant_position/credible/roussos_2024/variant_figures/roussos_2024.childhood.Astrocyte/rs2789588_count_position.png",4,220,900)</f>
        <v/>
      </c>
      <c r="T3539">
        <f>IMAGE("https://mitra.stanford.edu/kundaje/oak/projects/neuro-variants/variant_position/credible/roussos_2024/variant_figures/roussos_2024.childhood.Astrocyte/rs2789588_profile_position.png",4,220,900)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-0.00767633136</v>
      </c>
      <c r="G3540" t="n">
        <v>0.7015112281764559</v>
      </c>
      <c r="H3540" t="n">
        <v>0.0094813322471818</v>
      </c>
      <c r="I3540" t="n">
        <v>0.760115317821115</v>
      </c>
      <c r="J3540" t="n">
        <v>0.0010861517559325</v>
      </c>
      <c r="K3540" t="n">
        <v>0.9170190375883712</v>
      </c>
      <c r="L3540" t="b">
        <v>0</v>
      </c>
      <c r="M3540" t="b">
        <v>0</v>
      </c>
      <c r="N3540" t="inlineStr">
        <is>
          <t>ref</t>
        </is>
      </c>
      <c r="O3540" t="n">
        <v>-100</v>
      </c>
      <c r="P3540" t="n">
        <v>0.012825</v>
      </c>
      <c r="Q3540" t="n">
        <v>-100</v>
      </c>
      <c r="R3540" t="n">
        <v>0.1348</v>
      </c>
      <c r="S3540">
        <f>IMAGE("https://mitra.stanford.edu/kundaje/oak/projects/neuro-variants/variant_position/credible/roussos_2024/variant_figures/roussos_2024.childhood.Astrocyte/rs1856507_count_position.png",4,220,900)</f>
        <v/>
      </c>
      <c r="T3540">
        <f>IMAGE("https://mitra.stanford.edu/kundaje/oak/projects/neuro-variants/variant_position/credible/roussos_2024/variant_figures/roussos_2024.childhood.Astrocyte/rs1856507_profile_position.png",4,220,900)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-0.0263876713999999</v>
      </c>
      <c r="G3541" t="n">
        <v>0.4382444513445905</v>
      </c>
      <c r="H3541" t="n">
        <v>0.0104528932519432</v>
      </c>
      <c r="I3541" t="n">
        <v>0.6619578190225599</v>
      </c>
      <c r="J3541" t="n">
        <v>0.017082274278125</v>
      </c>
      <c r="K3541" t="n">
        <v>0.61799017403821</v>
      </c>
      <c r="L3541" t="b">
        <v>0</v>
      </c>
      <c r="M3541" t="b">
        <v>0</v>
      </c>
      <c r="N3541" t="inlineStr">
        <is>
          <t>ref</t>
        </is>
      </c>
      <c r="O3541" t="n">
        <v>-45</v>
      </c>
      <c r="P3541" t="n">
        <v>0.01094</v>
      </c>
      <c r="Q3541" t="n">
        <v>5</v>
      </c>
      <c r="R3541" t="n">
        <v>0.007294</v>
      </c>
      <c r="S3541">
        <f>IMAGE("https://mitra.stanford.edu/kundaje/oak/projects/neuro-variants/variant_position/credible/roussos_2024/variant_figures/roussos_2024.childhood.Astrocyte/rs2023569_count_position.png",4,220,900)</f>
        <v/>
      </c>
      <c r="T3541">
        <f>IMAGE("https://mitra.stanford.edu/kundaje/oak/projects/neuro-variants/variant_position/credible/roussos_2024/variant_figures/roussos_2024.childhood.Astrocyte/rs2023569_profile_position.png",4,220,900)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0.01562467786</v>
      </c>
      <c r="G3542" t="n">
        <v>0.5966948418844998</v>
      </c>
      <c r="H3542" t="n">
        <v>0.0112928184352318</v>
      </c>
      <c r="I3542" t="n">
        <v>0.5843434988006859</v>
      </c>
      <c r="J3542" t="n">
        <v>0.0135520902505857</v>
      </c>
      <c r="K3542" t="n">
        <v>0.6459645400049717</v>
      </c>
      <c r="L3542" t="b">
        <v>0</v>
      </c>
      <c r="M3542" t="b">
        <v>0</v>
      </c>
      <c r="N3542" t="inlineStr">
        <is>
          <t>alt</t>
        </is>
      </c>
      <c r="O3542" t="n">
        <v>100</v>
      </c>
      <c r="P3542" t="n">
        <v>0.006958</v>
      </c>
      <c r="Q3542" t="n">
        <v>-85</v>
      </c>
      <c r="R3542" t="n">
        <v>0.101</v>
      </c>
      <c r="S3542">
        <f>IMAGE("https://mitra.stanford.edu/kundaje/oak/projects/neuro-variants/variant_position/credible/roussos_2024/variant_figures/roussos_2024.childhood.Astrocyte/rs2022265_count_position.png",4,220,900)</f>
        <v/>
      </c>
      <c r="T3542">
        <f>IMAGE("https://mitra.stanford.edu/kundaje/oak/projects/neuro-variants/variant_position/credible/roussos_2024/variant_figures/roussos_2024.childhood.Astrocyte/rs2022265_profile_position.png",4,220,900)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0.00345223773</v>
      </c>
      <c r="G3543" t="n">
        <v>0.7828977527330946</v>
      </c>
      <c r="H3543" t="n">
        <v>0.0118321399535782</v>
      </c>
      <c r="I3543" t="n">
        <v>0.527347780483659</v>
      </c>
      <c r="J3543" t="n">
        <v>0.0038423667880286</v>
      </c>
      <c r="K3543" t="n">
        <v>0.807444342875019</v>
      </c>
      <c r="L3543" t="b">
        <v>0</v>
      </c>
      <c r="M3543" t="b">
        <v>0</v>
      </c>
      <c r="N3543" t="inlineStr">
        <is>
          <t>alt</t>
        </is>
      </c>
      <c r="O3543" t="n">
        <v>85</v>
      </c>
      <c r="P3543" t="n">
        <v>0.08495999999999999</v>
      </c>
      <c r="Q3543" t="n">
        <v>-100</v>
      </c>
      <c r="R3543" t="n">
        <v>0.12354</v>
      </c>
      <c r="S3543">
        <f>IMAGE("https://mitra.stanford.edu/kundaje/oak/projects/neuro-variants/variant_position/credible/roussos_2024/variant_figures/roussos_2024.childhood.Astrocyte/rs2208335_count_position.png",4,220,900)</f>
        <v/>
      </c>
      <c r="T3543">
        <f>IMAGE("https://mitra.stanford.edu/kundaje/oak/projects/neuro-variants/variant_position/credible/roussos_2024/variant_figures/roussos_2024.childhood.Astrocyte/rs2208335_profile_position.png",4,220,900)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-0.065910251</v>
      </c>
      <c r="G3544" t="n">
        <v>0.1545732650848019</v>
      </c>
      <c r="H3544" t="n">
        <v>0.0155014085039009</v>
      </c>
      <c r="I3544" t="n">
        <v>0.2716974630273702</v>
      </c>
      <c r="J3544" t="n">
        <v>0.0108134307282482</v>
      </c>
      <c r="K3544" t="n">
        <v>0.6873149235355721</v>
      </c>
      <c r="L3544" t="b">
        <v>0</v>
      </c>
      <c r="M3544" t="b">
        <v>0</v>
      </c>
      <c r="N3544" t="inlineStr">
        <is>
          <t>ref</t>
        </is>
      </c>
      <c r="O3544" t="n">
        <v>5</v>
      </c>
      <c r="P3544" t="n">
        <v>0.001068</v>
      </c>
      <c r="Q3544" t="n">
        <v>25</v>
      </c>
      <c r="R3544" t="n">
        <v>0.02754</v>
      </c>
      <c r="S3544">
        <f>IMAGE("https://mitra.stanford.edu/kundaje/oak/projects/neuro-variants/variant_position/credible/roussos_2024/variant_figures/roussos_2024.childhood.Astrocyte/rs2324447_count_position.png",4,220,900)</f>
        <v/>
      </c>
      <c r="T3544">
        <f>IMAGE("https://mitra.stanford.edu/kundaje/oak/projects/neuro-variants/variant_position/credible/roussos_2024/variant_figures/roussos_2024.childhood.Astrocyte/rs2324447_profile_position.png",4,220,900)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-0.0910658276</v>
      </c>
      <c r="G3545" t="n">
        <v>0.0876309560521067</v>
      </c>
      <c r="H3545" t="n">
        <v>0.0234817709559075</v>
      </c>
      <c r="I3545" t="n">
        <v>0.073706981668594</v>
      </c>
      <c r="J3545" t="n">
        <v>0.1756153969453412</v>
      </c>
      <c r="K3545" t="n">
        <v>0.2270316539185898</v>
      </c>
      <c r="L3545" t="b">
        <v>0</v>
      </c>
      <c r="M3545" t="b">
        <v>0</v>
      </c>
      <c r="N3545" t="inlineStr">
        <is>
          <t>ref</t>
        </is>
      </c>
      <c r="O3545" t="n">
        <v>-90</v>
      </c>
      <c r="P3545" t="n">
        <v>0.02563</v>
      </c>
      <c r="Q3545" t="n">
        <v>-90</v>
      </c>
      <c r="R3545" t="n">
        <v>0.0713</v>
      </c>
      <c r="S3545">
        <f>IMAGE("https://mitra.stanford.edu/kundaje/oak/projects/neuro-variants/variant_position/credible/roussos_2024/variant_figures/roussos_2024.childhood.Astrocyte/rs2207944_count_position.png",4,220,900)</f>
        <v/>
      </c>
      <c r="T3545">
        <f>IMAGE("https://mitra.stanford.edu/kundaje/oak/projects/neuro-variants/variant_position/credible/roussos_2024/variant_figures/roussos_2024.childhood.Astrocyte/rs2207944_profile_position.png",4,220,900)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0.070982512</v>
      </c>
      <c r="G3546" t="n">
        <v>0.1242681507584324</v>
      </c>
      <c r="H3546" t="n">
        <v>0.0159913170376772</v>
      </c>
      <c r="I3546" t="n">
        <v>0.2619321519872891</v>
      </c>
      <c r="J3546" t="n">
        <v>0.0065581278193766</v>
      </c>
      <c r="K3546" t="n">
        <v>0.7526245253599506</v>
      </c>
      <c r="L3546" t="b">
        <v>0</v>
      </c>
      <c r="M3546" t="b">
        <v>0</v>
      </c>
      <c r="N3546" t="inlineStr">
        <is>
          <t>alt</t>
        </is>
      </c>
      <c r="O3546" t="n">
        <v>10</v>
      </c>
      <c r="P3546" t="n">
        <v>0.001984</v>
      </c>
      <c r="Q3546" t="n">
        <v>-60</v>
      </c>
      <c r="R3546" t="n">
        <v>0.05435</v>
      </c>
      <c r="S3546">
        <f>IMAGE("https://mitra.stanford.edu/kundaje/oak/projects/neuro-variants/variant_position/credible/roussos_2024/variant_figures/roussos_2024.childhood.Astrocyte/rs217331_count_position.png",4,220,900)</f>
        <v/>
      </c>
      <c r="T3546">
        <f>IMAGE("https://mitra.stanford.edu/kundaje/oak/projects/neuro-variants/variant_position/credible/roussos_2024/variant_figures/roussos_2024.childhood.Astrocyte/rs217331_profile_position.png",4,220,900)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0.0002519325599999</v>
      </c>
      <c r="G3547" t="n">
        <v>0.6264335564898661</v>
      </c>
      <c r="H3547" t="n">
        <v>0.0112814746769874</v>
      </c>
      <c r="I3547" t="n">
        <v>0.5854401302635964</v>
      </c>
      <c r="J3547" t="n">
        <v>0.0167212414035247</v>
      </c>
      <c r="K3547" t="n">
        <v>0.6162671699664279</v>
      </c>
      <c r="L3547" t="b">
        <v>0</v>
      </c>
      <c r="M3547" t="b">
        <v>0</v>
      </c>
      <c r="N3547" t="inlineStr">
        <is>
          <t>alt</t>
        </is>
      </c>
      <c r="O3547" t="n">
        <v>90</v>
      </c>
      <c r="P3547" t="n">
        <v>0.003002</v>
      </c>
      <c r="Q3547" t="n">
        <v>-85</v>
      </c>
      <c r="R3547" t="n">
        <v>0.09894</v>
      </c>
      <c r="S3547">
        <f>IMAGE("https://mitra.stanford.edu/kundaje/oak/projects/neuro-variants/variant_position/credible/roussos_2024/variant_figures/roussos_2024.childhood.Astrocyte/rs217311_count_position.png",4,220,900)</f>
        <v/>
      </c>
      <c r="T3547">
        <f>IMAGE("https://mitra.stanford.edu/kundaje/oak/projects/neuro-variants/variant_position/credible/roussos_2024/variant_figures/roussos_2024.childhood.Astrocyte/rs217311_profile_position.png",4,220,900)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-0.0436229586</v>
      </c>
      <c r="G3548" t="n">
        <v>0.27442020365488</v>
      </c>
      <c r="H3548" t="n">
        <v>0.0137969984657707</v>
      </c>
      <c r="I3548" t="n">
        <v>0.3771717432101912</v>
      </c>
      <c r="J3548" t="n">
        <v>0.0210856937861127</v>
      </c>
      <c r="K3548" t="n">
        <v>0.5883984666473617</v>
      </c>
      <c r="L3548" t="b">
        <v>0</v>
      </c>
      <c r="M3548" t="b">
        <v>0</v>
      </c>
      <c r="N3548" t="inlineStr">
        <is>
          <t>ref</t>
        </is>
      </c>
      <c r="O3548" t="n">
        <v>85</v>
      </c>
      <c r="P3548" t="n">
        <v>0.001198</v>
      </c>
      <c r="Q3548" t="n">
        <v>85</v>
      </c>
      <c r="R3548" t="n">
        <v>0.1636</v>
      </c>
      <c r="S3548">
        <f>IMAGE("https://mitra.stanford.edu/kundaje/oak/projects/neuro-variants/variant_position/credible/roussos_2024/variant_figures/roussos_2024.childhood.Astrocyte/rs217303_count_position.png",4,220,900)</f>
        <v/>
      </c>
      <c r="T3548">
        <f>IMAGE("https://mitra.stanford.edu/kundaje/oak/projects/neuro-variants/variant_position/credible/roussos_2024/variant_figures/roussos_2024.childhood.Astrocyte/rs217303_profile_position.png",4,220,900)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0.0458879068</v>
      </c>
      <c r="G3549" t="n">
        <v>0.2390221298210033</v>
      </c>
      <c r="H3549" t="n">
        <v>0.0093581506271167</v>
      </c>
      <c r="I3549" t="n">
        <v>0.7502833475863984</v>
      </c>
      <c r="J3549" t="n">
        <v>0.0010876783219985</v>
      </c>
      <c r="K3549" t="n">
        <v>0.8975481004546452</v>
      </c>
      <c r="L3549" t="b">
        <v>0</v>
      </c>
      <c r="M3549" t="b">
        <v>0</v>
      </c>
      <c r="N3549" t="inlineStr">
        <is>
          <t>alt</t>
        </is>
      </c>
      <c r="O3549" t="n">
        <v>-85</v>
      </c>
      <c r="P3549" t="n">
        <v>0.01718</v>
      </c>
      <c r="Q3549" t="n">
        <v>35</v>
      </c>
      <c r="R3549" t="n">
        <v>0.04413</v>
      </c>
      <c r="S3549">
        <f>IMAGE("https://mitra.stanford.edu/kundaje/oak/projects/neuro-variants/variant_position/credible/roussos_2024/variant_figures/roussos_2024.childhood.Astrocyte/rs217289_count_position.png",4,220,900)</f>
        <v/>
      </c>
      <c r="T3549">
        <f>IMAGE("https://mitra.stanford.edu/kundaje/oak/projects/neuro-variants/variant_position/credible/roussos_2024/variant_figures/roussos_2024.childhood.Astrocyte/rs217289_profile_position.png",4,220,900)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-0.0155471217999999</v>
      </c>
      <c r="G3550" t="n">
        <v>0.6104798325456707</v>
      </c>
      <c r="H3550" t="n">
        <v>0.0248842333540963</v>
      </c>
      <c r="I3550" t="n">
        <v>0.060898695959938</v>
      </c>
      <c r="J3550" t="n">
        <v>0.0078740277682366</v>
      </c>
      <c r="K3550" t="n">
        <v>0.7211710049558718</v>
      </c>
      <c r="L3550" t="b">
        <v>0</v>
      </c>
      <c r="M3550" t="b">
        <v>0</v>
      </c>
      <c r="N3550" t="inlineStr">
        <is>
          <t>ref</t>
        </is>
      </c>
      <c r="O3550" t="n">
        <v>80</v>
      </c>
      <c r="P3550" t="n">
        <v>0.010864</v>
      </c>
      <c r="Q3550" t="n">
        <v>80</v>
      </c>
      <c r="R3550" t="n">
        <v>0.06775</v>
      </c>
      <c r="S3550">
        <f>IMAGE("https://mitra.stanford.edu/kundaje/oak/projects/neuro-variants/variant_position/credible/roussos_2024/variant_figures/roussos_2024.childhood.Astrocyte/rs6917686_count_position.png",4,220,900)</f>
        <v/>
      </c>
      <c r="T3550">
        <f>IMAGE("https://mitra.stanford.edu/kundaje/oak/projects/neuro-variants/variant_position/credible/roussos_2024/variant_figures/roussos_2024.childhood.Astrocyte/rs6917686_profile_position.png",4,220,900)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-0.0065342522399999</v>
      </c>
      <c r="G3551" t="n">
        <v>0.803001692246345</v>
      </c>
      <c r="H3551" t="n">
        <v>0.0277322498870431</v>
      </c>
      <c r="I3551" t="n">
        <v>0.0401765435437491</v>
      </c>
      <c r="J3551" t="n">
        <v>0.007945776373336899</v>
      </c>
      <c r="K3551" t="n">
        <v>0.7201314044881132</v>
      </c>
      <c r="L3551" t="b">
        <v>0</v>
      </c>
      <c r="M3551" t="b">
        <v>0</v>
      </c>
      <c r="N3551" t="inlineStr">
        <is>
          <t>ref</t>
        </is>
      </c>
      <c r="O3551" t="n">
        <v>85</v>
      </c>
      <c r="P3551" t="n">
        <v>0.01204</v>
      </c>
      <c r="Q3551" t="n">
        <v>85</v>
      </c>
      <c r="R3551" t="n">
        <v>0.07367</v>
      </c>
      <c r="S3551">
        <f>IMAGE("https://mitra.stanford.edu/kundaje/oak/projects/neuro-variants/variant_position/credible/roussos_2024/variant_figures/roussos_2024.childhood.Astrocyte/rs6940316_count_position.png",4,220,900)</f>
        <v/>
      </c>
      <c r="T3551">
        <f>IMAGE("https://mitra.stanford.edu/kundaje/oak/projects/neuro-variants/variant_position/credible/roussos_2024/variant_figures/roussos_2024.childhood.Astrocyte/rs6940316_profile_position.png",4,220,900)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-0.0235967006</v>
      </c>
      <c r="G3552" t="n">
        <v>0.4832267478353872</v>
      </c>
      <c r="H3552" t="n">
        <v>0.0193612272890744</v>
      </c>
      <c r="I3552" t="n">
        <v>0.1407140437503381</v>
      </c>
      <c r="J3552" t="n">
        <v>0.0074412462885362</v>
      </c>
      <c r="K3552" t="n">
        <v>0.7306379408456828</v>
      </c>
      <c r="L3552" t="b">
        <v>0</v>
      </c>
      <c r="M3552" t="b">
        <v>0</v>
      </c>
      <c r="N3552" t="inlineStr">
        <is>
          <t>ref</t>
        </is>
      </c>
      <c r="O3552" t="n">
        <v>65</v>
      </c>
      <c r="P3552" t="n">
        <v>0.007652</v>
      </c>
      <c r="Q3552" t="n">
        <v>95</v>
      </c>
      <c r="R3552" t="n">
        <v>0.04706</v>
      </c>
      <c r="S3552">
        <f>IMAGE("https://mitra.stanford.edu/kundaje/oak/projects/neuro-variants/variant_position/credible/roussos_2024/variant_figures/roussos_2024.childhood.Astrocyte/rs12193330_count_position.png",4,220,900)</f>
        <v/>
      </c>
      <c r="T3552">
        <f>IMAGE("https://mitra.stanford.edu/kundaje/oak/projects/neuro-variants/variant_position/credible/roussos_2024/variant_figures/roussos_2024.childhood.Astrocyte/rs12193330_profile_position.png",4,220,900)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-0.0673472614</v>
      </c>
      <c r="G3553" t="n">
        <v>0.1411342334173981</v>
      </c>
      <c r="H3553" t="n">
        <v>0.0145407836438249</v>
      </c>
      <c r="I3553" t="n">
        <v>0.318704437302192</v>
      </c>
      <c r="J3553" t="n">
        <v>0.1045041331776235</v>
      </c>
      <c r="K3553" t="n">
        <v>0.3177152225318341</v>
      </c>
      <c r="L3553" t="b">
        <v>0</v>
      </c>
      <c r="M3553" t="b">
        <v>0</v>
      </c>
      <c r="N3553" t="inlineStr">
        <is>
          <t>ref</t>
        </is>
      </c>
      <c r="O3553" t="n">
        <v>100</v>
      </c>
      <c r="P3553" t="n">
        <v>0.1278</v>
      </c>
      <c r="Q3553" t="n">
        <v>100</v>
      </c>
      <c r="R3553" t="n">
        <v>0.5425</v>
      </c>
      <c r="S3553">
        <f>IMAGE("https://mitra.stanford.edu/kundaje/oak/projects/neuro-variants/variant_position/credible/roussos_2024/variant_figures/roussos_2024.childhood.Astrocyte/rs1593657_count_position.png",4,220,900)</f>
        <v/>
      </c>
      <c r="T3553">
        <f>IMAGE("https://mitra.stanford.edu/kundaje/oak/projects/neuro-variants/variant_position/credible/roussos_2024/variant_figures/roussos_2024.childhood.Astrocyte/rs1593657_profile_position.png",4,220,900)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0.225360418</v>
      </c>
      <c r="G3554" t="n">
        <v>0.012403059995308</v>
      </c>
      <c r="H3554" t="n">
        <v>0.0234935044450407</v>
      </c>
      <c r="I3554" t="n">
        <v>0.0765822045332395</v>
      </c>
      <c r="J3554" t="n">
        <v>0.0435811713341423</v>
      </c>
      <c r="K3554" t="n">
        <v>0.4656757041700114</v>
      </c>
      <c r="L3554" t="b">
        <v>1</v>
      </c>
      <c r="M3554" t="b">
        <v>0</v>
      </c>
      <c r="N3554" t="inlineStr">
        <is>
          <t>alt</t>
        </is>
      </c>
      <c r="O3554" t="n">
        <v>-50</v>
      </c>
      <c r="P3554" t="n">
        <v>0.010254</v>
      </c>
      <c r="Q3554" t="n">
        <v>100</v>
      </c>
      <c r="R3554" t="n">
        <v>0.0674</v>
      </c>
      <c r="S3554">
        <f>IMAGE("https://mitra.stanford.edu/kundaje/oak/projects/neuro-variants/variant_position/credible/roussos_2024/variant_figures/roussos_2024.childhood.Astrocyte/rs1346296_count_position.png",4,220,900)</f>
        <v/>
      </c>
      <c r="T3554">
        <f>IMAGE("https://mitra.stanford.edu/kundaje/oak/projects/neuro-variants/variant_position/credible/roussos_2024/variant_figures/roussos_2024.childhood.Astrocyte/rs1346296_profile_position.png",4,220,900)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-0.0219144271</v>
      </c>
      <c r="G3555" t="n">
        <v>0.4737806989786995</v>
      </c>
      <c r="H3555" t="n">
        <v>0.0239874613815389</v>
      </c>
      <c r="I3555" t="n">
        <v>0.0698507433749164</v>
      </c>
      <c r="J3555" t="n">
        <v>0.06337996992664841</v>
      </c>
      <c r="K3555" t="n">
        <v>0.4053695621951531</v>
      </c>
      <c r="L3555" t="b">
        <v>0</v>
      </c>
      <c r="M3555" t="b">
        <v>0</v>
      </c>
      <c r="N3555" t="inlineStr">
        <is>
          <t>ref</t>
        </is>
      </c>
      <c r="O3555" t="n">
        <v>-85</v>
      </c>
      <c r="P3555" t="n">
        <v>0.01355</v>
      </c>
      <c r="Q3555" t="n">
        <v>-90</v>
      </c>
      <c r="R3555" t="n">
        <v>0.1389</v>
      </c>
      <c r="S3555">
        <f>IMAGE("https://mitra.stanford.edu/kundaje/oak/projects/neuro-variants/variant_position/credible/roussos_2024/variant_figures/roussos_2024.childhood.Astrocyte/rs6919658_count_position.png",4,220,900)</f>
        <v/>
      </c>
      <c r="T3555">
        <f>IMAGE("https://mitra.stanford.edu/kundaje/oak/projects/neuro-variants/variant_position/credible/roussos_2024/variant_figures/roussos_2024.childhood.Astrocyte/rs6919658_profile_position.png",4,220,900)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-0.235703936</v>
      </c>
      <c r="G3556" t="n">
        <v>0.0111901941256833</v>
      </c>
      <c r="H3556" t="n">
        <v>0.0379588540185078</v>
      </c>
      <c r="I3556" t="n">
        <v>0.0118272792184266</v>
      </c>
      <c r="J3556" t="n">
        <v>0.0036561257279811</v>
      </c>
      <c r="K3556" t="n">
        <v>0.8236413967782215</v>
      </c>
      <c r="L3556" t="b">
        <v>1</v>
      </c>
      <c r="M3556" t="b">
        <v>0</v>
      </c>
      <c r="N3556" t="inlineStr">
        <is>
          <t>ref</t>
        </is>
      </c>
      <c r="O3556" t="n">
        <v>-10</v>
      </c>
      <c r="P3556" t="n">
        <v>0.001633</v>
      </c>
      <c r="Q3556" t="n">
        <v>-70</v>
      </c>
      <c r="R3556" t="n">
        <v>0.1562</v>
      </c>
      <c r="S3556">
        <f>IMAGE("https://mitra.stanford.edu/kundaje/oak/projects/neuro-variants/variant_position/credible/roussos_2024/variant_figures/roussos_2024.childhood.Astrocyte/rs142115373_count_position.png",4,220,900)</f>
        <v/>
      </c>
      <c r="T3556">
        <f>IMAGE("https://mitra.stanford.edu/kundaje/oak/projects/neuro-variants/variant_position/credible/roussos_2024/variant_figures/roussos_2024.childhood.Astrocyte/rs142115373_profile_position.png",4,220,900)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0.0269838853999999</v>
      </c>
      <c r="G3557" t="n">
        <v>0.4073836775916734</v>
      </c>
      <c r="H3557" t="n">
        <v>0.0258162563294203</v>
      </c>
      <c r="I3557" t="n">
        <v>0.0525823381043168</v>
      </c>
      <c r="J3557" t="n">
        <v>0.0002541732499827</v>
      </c>
      <c r="K3557" t="n">
        <v>0.9672849637393988</v>
      </c>
      <c r="L3557" t="b">
        <v>0</v>
      </c>
      <c r="M3557" t="b">
        <v>0</v>
      </c>
      <c r="N3557" t="inlineStr">
        <is>
          <t>alt</t>
        </is>
      </c>
      <c r="O3557" t="n">
        <v>-65</v>
      </c>
      <c r="P3557" t="n">
        <v>0.013374</v>
      </c>
      <c r="Q3557" t="n">
        <v>-100</v>
      </c>
      <c r="R3557" t="n">
        <v>0.12085</v>
      </c>
      <c r="S3557">
        <f>IMAGE("https://mitra.stanford.edu/kundaje/oak/projects/neuro-variants/variant_position/credible/roussos_2024/variant_figures/roussos_2024.childhood.Astrocyte/rs139659029_count_position.png",4,220,900)</f>
        <v/>
      </c>
      <c r="T3557">
        <f>IMAGE("https://mitra.stanford.edu/kundaje/oak/projects/neuro-variants/variant_position/credible/roussos_2024/variant_figures/roussos_2024.childhood.Astrocyte/rs139659029_profile_position.png",4,220,900)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0.0154933068999999</v>
      </c>
      <c r="G3558" t="n">
        <v>0.6016435750689182</v>
      </c>
      <c r="H3558" t="n">
        <v>0.0360109146453851</v>
      </c>
      <c r="I3558" t="n">
        <v>0.0147272159007303</v>
      </c>
      <c r="J3558" t="n">
        <v>0.00086021997817</v>
      </c>
      <c r="K3558" t="n">
        <v>0.9186952422688348</v>
      </c>
      <c r="L3558" t="b">
        <v>0</v>
      </c>
      <c r="M3558" t="b">
        <v>0</v>
      </c>
      <c r="N3558" t="inlineStr">
        <is>
          <t>alt</t>
        </is>
      </c>
      <c r="O3558" t="n">
        <v>90</v>
      </c>
      <c r="P3558" t="n">
        <v>0.003601</v>
      </c>
      <c r="Q3558" t="n">
        <v>-100</v>
      </c>
      <c r="R3558" t="n">
        <v>0.09470000000000001</v>
      </c>
      <c r="S3558">
        <f>IMAGE("https://mitra.stanford.edu/kundaje/oak/projects/neuro-variants/variant_position/credible/roussos_2024/variant_figures/roussos_2024.childhood.Astrocyte/rs648204_count_position.png",4,220,900)</f>
        <v/>
      </c>
      <c r="T3558">
        <f>IMAGE("https://mitra.stanford.edu/kundaje/oak/projects/neuro-variants/variant_position/credible/roussos_2024/variant_figures/roussos_2024.childhood.Astrocyte/rs648204_profile_position.png",4,220,900)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0.01520988312</v>
      </c>
      <c r="G3559" t="n">
        <v>0.6088583042587355</v>
      </c>
      <c r="H3559" t="n">
        <v>0.0290269576506632</v>
      </c>
      <c r="I3559" t="n">
        <v>0.034142196493175</v>
      </c>
      <c r="J3559" t="n">
        <v>0.00036866570493</v>
      </c>
      <c r="K3559" t="n">
        <v>0.9552069722178468</v>
      </c>
      <c r="L3559" t="b">
        <v>0</v>
      </c>
      <c r="M3559" t="b">
        <v>0</v>
      </c>
      <c r="N3559" t="inlineStr">
        <is>
          <t>alt</t>
        </is>
      </c>
      <c r="O3559" t="n">
        <v>-95</v>
      </c>
      <c r="P3559" t="n">
        <v>0.02011</v>
      </c>
      <c r="Q3559" t="n">
        <v>55</v>
      </c>
      <c r="R3559" t="n">
        <v>0.0731</v>
      </c>
      <c r="S3559">
        <f>IMAGE("https://mitra.stanford.edu/kundaje/oak/projects/neuro-variants/variant_position/credible/roussos_2024/variant_figures/roussos_2024.childhood.Astrocyte/rs586541_count_position.png",4,220,900)</f>
        <v/>
      </c>
      <c r="T3559">
        <f>IMAGE("https://mitra.stanford.edu/kundaje/oak/projects/neuro-variants/variant_position/credible/roussos_2024/variant_figures/roussos_2024.childhood.Astrocyte/rs586541_profile_position.png",4,220,900)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-0.01427889086</v>
      </c>
      <c r="G3560" t="n">
        <v>0.6516413528957532</v>
      </c>
      <c r="H3560" t="n">
        <v>0.0109886395111834</v>
      </c>
      <c r="I3560" t="n">
        <v>0.6028260917512933</v>
      </c>
      <c r="J3560" t="n">
        <v>0.0276499278697533</v>
      </c>
      <c r="K3560" t="n">
        <v>0.5393877611118744</v>
      </c>
      <c r="L3560" t="b">
        <v>0</v>
      </c>
      <c r="M3560" t="b">
        <v>0</v>
      </c>
      <c r="N3560" t="inlineStr">
        <is>
          <t>ref</t>
        </is>
      </c>
      <c r="O3560" t="n">
        <v>10</v>
      </c>
      <c r="P3560" t="n">
        <v>0.0005264</v>
      </c>
      <c r="Q3560" t="n">
        <v>100</v>
      </c>
      <c r="R3560" t="n">
        <v>0.1111</v>
      </c>
      <c r="S3560">
        <f>IMAGE("https://mitra.stanford.edu/kundaje/oak/projects/neuro-variants/variant_position/credible/roussos_2024/variant_figures/roussos_2024.childhood.Astrocyte/rs910025_count_position.png",4,220,900)</f>
        <v/>
      </c>
      <c r="T3560">
        <f>IMAGE("https://mitra.stanford.edu/kundaje/oak/projects/neuro-variants/variant_position/credible/roussos_2024/variant_figures/roussos_2024.childhood.Astrocyte/rs910025_profile_position.png",4,220,900)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0.0609842408</v>
      </c>
      <c r="G3561" t="n">
        <v>0.1704808567211143</v>
      </c>
      <c r="H3561" t="n">
        <v>0.0180045633982597</v>
      </c>
      <c r="I3561" t="n">
        <v>0.1762657752427028</v>
      </c>
      <c r="J3561" t="n">
        <v>0.0814232175432972</v>
      </c>
      <c r="K3561" t="n">
        <v>0.3625298341509556</v>
      </c>
      <c r="L3561" t="b">
        <v>0</v>
      </c>
      <c r="M3561" t="b">
        <v>0</v>
      </c>
      <c r="N3561" t="inlineStr">
        <is>
          <t>alt</t>
        </is>
      </c>
      <c r="O3561" t="n">
        <v>-35</v>
      </c>
      <c r="P3561" t="n">
        <v>0.00409</v>
      </c>
      <c r="Q3561" t="n">
        <v>15</v>
      </c>
      <c r="R3561" t="n">
        <v>0.06042</v>
      </c>
      <c r="S3561">
        <f>IMAGE("https://mitra.stanford.edu/kundaje/oak/projects/neuro-variants/variant_position/credible/roussos_2024/variant_figures/roussos_2024.childhood.Astrocyte/rs474447_count_position.png",4,220,900)</f>
        <v/>
      </c>
      <c r="T3561">
        <f>IMAGE("https://mitra.stanford.edu/kundaje/oak/projects/neuro-variants/variant_position/credible/roussos_2024/variant_figures/roussos_2024.childhood.Astrocyte/rs474447_profile_position.png",4,220,900)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0.0115248352</v>
      </c>
      <c r="G3562" t="n">
        <v>0.6880807678005705</v>
      </c>
      <c r="H3562" t="n">
        <v>0.0366893085294457</v>
      </c>
      <c r="I3562" t="n">
        <v>0.0134828301621138</v>
      </c>
      <c r="J3562" t="n">
        <v>0.0092647294543289</v>
      </c>
      <c r="K3562" t="n">
        <v>0.704663155110609</v>
      </c>
      <c r="L3562" t="b">
        <v>0</v>
      </c>
      <c r="M3562" t="b">
        <v>0</v>
      </c>
      <c r="N3562" t="inlineStr">
        <is>
          <t>alt</t>
        </is>
      </c>
      <c r="O3562" t="n">
        <v>35</v>
      </c>
      <c r="P3562" t="n">
        <v>0.00624</v>
      </c>
      <c r="Q3562" t="n">
        <v>-95</v>
      </c>
      <c r="R3562" t="n">
        <v>0.2079</v>
      </c>
      <c r="S3562">
        <f>IMAGE("https://mitra.stanford.edu/kundaje/oak/projects/neuro-variants/variant_position/credible/roussos_2024/variant_figures/roussos_2024.childhood.Astrocyte/rs675629_count_position.png",4,220,900)</f>
        <v/>
      </c>
      <c r="T3562">
        <f>IMAGE("https://mitra.stanford.edu/kundaje/oak/projects/neuro-variants/variant_position/credible/roussos_2024/variant_figures/roussos_2024.childhood.Astrocyte/rs675629_profile_position.png",4,220,900)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0.020713882</v>
      </c>
      <c r="G3563" t="n">
        <v>0.5070546764246534</v>
      </c>
      <c r="H3563" t="n">
        <v>0.0348769234192119</v>
      </c>
      <c r="I3563" t="n">
        <v>0.0163222851754211</v>
      </c>
      <c r="J3563" t="n">
        <v>0.0239373191973315</v>
      </c>
      <c r="K3563" t="n">
        <v>0.5782200650512795</v>
      </c>
      <c r="L3563" t="b">
        <v>1</v>
      </c>
      <c r="M3563" t="b">
        <v>0</v>
      </c>
      <c r="N3563" t="inlineStr">
        <is>
          <t>alt</t>
        </is>
      </c>
      <c r="O3563" t="n">
        <v>-95</v>
      </c>
      <c r="P3563" t="n">
        <v>0.009650000000000001</v>
      </c>
      <c r="Q3563" t="n">
        <v>-80</v>
      </c>
      <c r="R3563" t="n">
        <v>0.202</v>
      </c>
      <c r="S3563">
        <f>IMAGE("https://mitra.stanford.edu/kundaje/oak/projects/neuro-variants/variant_position/credible/roussos_2024/variant_figures/roussos_2024.childhood.Astrocyte/rs582112_count_position.png",4,220,900)</f>
        <v/>
      </c>
      <c r="T3563">
        <f>IMAGE("https://mitra.stanford.edu/kundaje/oak/projects/neuro-variants/variant_position/credible/roussos_2024/variant_figures/roussos_2024.childhood.Astrocyte/rs582112_profile_position.png",4,220,900)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0.0410765434</v>
      </c>
      <c r="G3564" t="n">
        <v>0.1770687901187234</v>
      </c>
      <c r="H3564" t="n">
        <v>0.0127762538447001</v>
      </c>
      <c r="I3564" t="n">
        <v>0.4466279292856402</v>
      </c>
      <c r="J3564" t="n">
        <v>0.0492699197789531</v>
      </c>
      <c r="K3564" t="n">
        <v>0.4476971841805539</v>
      </c>
      <c r="L3564" t="b">
        <v>0</v>
      </c>
      <c r="M3564" t="b">
        <v>0</v>
      </c>
      <c r="N3564" t="inlineStr">
        <is>
          <t>alt</t>
        </is>
      </c>
      <c r="O3564" t="n">
        <v>-25</v>
      </c>
      <c r="P3564" t="n">
        <v>0.003906</v>
      </c>
      <c r="Q3564" t="n">
        <v>65</v>
      </c>
      <c r="R3564" t="n">
        <v>0.1661</v>
      </c>
      <c r="S3564">
        <f>IMAGE("https://mitra.stanford.edu/kundaje/oak/projects/neuro-variants/variant_position/credible/roussos_2024/variant_figures/roussos_2024.childhood.Astrocyte/rs595200_count_position.png",4,220,900)</f>
        <v/>
      </c>
      <c r="T3564">
        <f>IMAGE("https://mitra.stanford.edu/kundaje/oak/projects/neuro-variants/variant_position/credible/roussos_2024/variant_figures/roussos_2024.childhood.Astrocyte/rs595200_profile_position.png",4,220,900)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0.0342665384</v>
      </c>
      <c r="G3565" t="n">
        <v>0.3369955465059084</v>
      </c>
      <c r="H3565" t="n">
        <v>0.0314221301293719</v>
      </c>
      <c r="I3565" t="n">
        <v>0.0258888042246502</v>
      </c>
      <c r="J3565" t="n">
        <v>0.0305763550182042</v>
      </c>
      <c r="K3565" t="n">
        <v>0.5218547976214041</v>
      </c>
      <c r="L3565" t="b">
        <v>0</v>
      </c>
      <c r="M3565" t="b">
        <v>0</v>
      </c>
      <c r="N3565" t="inlineStr">
        <is>
          <t>alt</t>
        </is>
      </c>
      <c r="O3565" t="n">
        <v>-80</v>
      </c>
      <c r="P3565" t="n">
        <v>0.1067</v>
      </c>
      <c r="Q3565" t="n">
        <v>-55</v>
      </c>
      <c r="R3565" t="n">
        <v>0.1912</v>
      </c>
      <c r="S3565">
        <f>IMAGE("https://mitra.stanford.edu/kundaje/oak/projects/neuro-variants/variant_position/credible/roussos_2024/variant_figures/roussos_2024.childhood.Astrocyte/rs17592255_count_position.png",4,220,900)</f>
        <v/>
      </c>
      <c r="T3565">
        <f>IMAGE("https://mitra.stanford.edu/kundaje/oak/projects/neuro-variants/variant_position/credible/roussos_2024/variant_figures/roussos_2024.childhood.Astrocyte/rs17592255_profile_position.png",4,220,900)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-0.0110068422</v>
      </c>
      <c r="G3566" t="n">
        <v>0.7158021857595726</v>
      </c>
      <c r="H3566" t="n">
        <v>0.0167676423851503</v>
      </c>
      <c r="I3566" t="n">
        <v>0.2193263594695452</v>
      </c>
      <c r="J3566" t="n">
        <v>0.0238976284796164</v>
      </c>
      <c r="K3566" t="n">
        <v>0.5673022132456244</v>
      </c>
      <c r="L3566" t="b">
        <v>0</v>
      </c>
      <c r="M3566" t="b">
        <v>0</v>
      </c>
      <c r="N3566" t="inlineStr">
        <is>
          <t>ref</t>
        </is>
      </c>
      <c r="O3566" t="n">
        <v>40</v>
      </c>
      <c r="P3566" t="n">
        <v>0.008240000000000001</v>
      </c>
      <c r="Q3566" t="n">
        <v>100</v>
      </c>
      <c r="R3566" t="n">
        <v>0.074</v>
      </c>
      <c r="S3566">
        <f>IMAGE("https://mitra.stanford.edu/kundaje/oak/projects/neuro-variants/variant_position/credible/roussos_2024/variant_figures/roussos_2024.childhood.Astrocyte/rs6926151_count_position.png",4,220,900)</f>
        <v/>
      </c>
      <c r="T3566">
        <f>IMAGE("https://mitra.stanford.edu/kundaje/oak/projects/neuro-variants/variant_position/credible/roussos_2024/variant_figures/roussos_2024.childhood.Astrocyte/rs6926151_profile_position.png",4,220,900)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-0.0093426324</v>
      </c>
      <c r="G3567" t="n">
        <v>0.7400338172455313</v>
      </c>
      <c r="H3567" t="n">
        <v>0.0113693871607292</v>
      </c>
      <c r="I3567" t="n">
        <v>0.5714760098616853</v>
      </c>
      <c r="J3567" t="n">
        <v>0.0018944684878599</v>
      </c>
      <c r="K3567" t="n">
        <v>0.8810493377292596</v>
      </c>
      <c r="L3567" t="b">
        <v>0</v>
      </c>
      <c r="M3567" t="b">
        <v>0</v>
      </c>
      <c r="N3567" t="inlineStr">
        <is>
          <t>ref</t>
        </is>
      </c>
      <c r="O3567" t="n">
        <v>60</v>
      </c>
      <c r="P3567" t="n">
        <v>0.00705</v>
      </c>
      <c r="Q3567" t="n">
        <v>15</v>
      </c>
      <c r="R3567" t="n">
        <v>0.01294</v>
      </c>
      <c r="S3567">
        <f>IMAGE("https://mitra.stanford.edu/kundaje/oak/projects/neuro-variants/variant_position/credible/roussos_2024/variant_figures/roussos_2024.childhood.Astrocyte/rs1933801_count_position.png",4,220,900)</f>
        <v/>
      </c>
      <c r="T3567">
        <f>IMAGE("https://mitra.stanford.edu/kundaje/oak/projects/neuro-variants/variant_position/credible/roussos_2024/variant_figures/roussos_2024.childhood.Astrocyte/rs1933801_profile_position.png",4,220,900)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-0.06522524640000001</v>
      </c>
      <c r="G3568" t="n">
        <v>0.1546685198826371</v>
      </c>
      <c r="H3568" t="n">
        <v>0.0140549063741681</v>
      </c>
      <c r="I3568" t="n">
        <v>0.3547606477702814</v>
      </c>
      <c r="J3568" t="n">
        <v>0.0047926541640905</v>
      </c>
      <c r="K3568" t="n">
        <v>0.7835308139777136</v>
      </c>
      <c r="L3568" t="b">
        <v>0</v>
      </c>
      <c r="M3568" t="b">
        <v>0</v>
      </c>
      <c r="N3568" t="inlineStr">
        <is>
          <t>ref</t>
        </is>
      </c>
      <c r="O3568" t="n">
        <v>-80</v>
      </c>
      <c r="P3568" t="n">
        <v>0.01424</v>
      </c>
      <c r="Q3568" t="n">
        <v>100</v>
      </c>
      <c r="R3568" t="n">
        <v>0.08044</v>
      </c>
      <c r="S3568">
        <f>IMAGE("https://mitra.stanford.edu/kundaje/oak/projects/neuro-variants/variant_position/credible/roussos_2024/variant_figures/roussos_2024.childhood.Astrocyte/rs9391254_count_position.png",4,220,900)</f>
        <v/>
      </c>
      <c r="T3568">
        <f>IMAGE("https://mitra.stanford.edu/kundaje/oak/projects/neuro-variants/variant_position/credible/roussos_2024/variant_figures/roussos_2024.childhood.Astrocyte/rs9391254_profile_position.png",4,220,900)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-0.1342563348</v>
      </c>
      <c r="G3569" t="n">
        <v>0.0399997927067243</v>
      </c>
      <c r="H3569" t="n">
        <v>0.0171363898833828</v>
      </c>
      <c r="I3569" t="n">
        <v>0.2045528294298536</v>
      </c>
      <c r="J3569" t="n">
        <v>0.018479082228481</v>
      </c>
      <c r="K3569" t="n">
        <v>0.609034952597735</v>
      </c>
      <c r="L3569" t="b">
        <v>0</v>
      </c>
      <c r="M3569" t="b">
        <v>0</v>
      </c>
      <c r="N3569" t="inlineStr">
        <is>
          <t>ref</t>
        </is>
      </c>
      <c r="O3569" t="n">
        <v>-90</v>
      </c>
      <c r="P3569" t="n">
        <v>0.00628</v>
      </c>
      <c r="Q3569" t="n">
        <v>-20</v>
      </c>
      <c r="R3569" t="n">
        <v>0.04187</v>
      </c>
      <c r="S3569">
        <f>IMAGE("https://mitra.stanford.edu/kundaje/oak/projects/neuro-variants/variant_position/credible/roussos_2024/variant_figures/roussos_2024.childhood.Astrocyte/rs7759938_count_position.png",4,220,900)</f>
        <v/>
      </c>
      <c r="T3569">
        <f>IMAGE("https://mitra.stanford.edu/kundaje/oak/projects/neuro-variants/variant_position/credible/roussos_2024/variant_figures/roussos_2024.childhood.Astrocyte/rs7759938_profile_position.png",4,220,900)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-0.086798906</v>
      </c>
      <c r="G3570" t="n">
        <v>0.0918138070447555</v>
      </c>
      <c r="H3570" t="n">
        <v>0.0166295426409797</v>
      </c>
      <c r="I3570" t="n">
        <v>0.229032693254761</v>
      </c>
      <c r="J3570" t="n">
        <v>0.0322861090120827</v>
      </c>
      <c r="K3570" t="n">
        <v>0.5153275682559015</v>
      </c>
      <c r="L3570" t="b">
        <v>0</v>
      </c>
      <c r="M3570" t="b">
        <v>0</v>
      </c>
      <c r="N3570" t="inlineStr">
        <is>
          <t>ref</t>
        </is>
      </c>
      <c r="O3570" t="n">
        <v>80</v>
      </c>
      <c r="P3570" t="n">
        <v>0.008704999999999999</v>
      </c>
      <c r="Q3570" t="n">
        <v>45</v>
      </c>
      <c r="R3570" t="n">
        <v>0.06125</v>
      </c>
      <c r="S3570">
        <f>IMAGE("https://mitra.stanford.edu/kundaje/oak/projects/neuro-variants/variant_position/credible/roussos_2024/variant_figures/roussos_2024.childhood.Astrocyte/rs314265_count_position.png",4,220,900)</f>
        <v/>
      </c>
      <c r="T3570">
        <f>IMAGE("https://mitra.stanford.edu/kundaje/oak/projects/neuro-variants/variant_position/credible/roussos_2024/variant_figures/roussos_2024.childhood.Astrocyte/rs314265_profile_position.png",4,220,900)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0.0025146518899999</v>
      </c>
      <c r="G3571" t="n">
        <v>0.9216329385457134</v>
      </c>
      <c r="H3571" t="n">
        <v>0.0261438609726717</v>
      </c>
      <c r="I3571" t="n">
        <v>0.0501442586735532</v>
      </c>
      <c r="J3571" t="n">
        <v>0.0014967980276766</v>
      </c>
      <c r="K3571" t="n">
        <v>0.8861390562040631</v>
      </c>
      <c r="L3571" t="b">
        <v>0</v>
      </c>
      <c r="M3571" t="b">
        <v>0</v>
      </c>
      <c r="N3571" t="inlineStr">
        <is>
          <t>alt</t>
        </is>
      </c>
      <c r="O3571" t="n">
        <v>100</v>
      </c>
      <c r="P3571" t="n">
        <v>0.07184</v>
      </c>
      <c r="Q3571" t="n">
        <v>100</v>
      </c>
      <c r="R3571" t="n">
        <v>0.0769</v>
      </c>
      <c r="S3571">
        <f>IMAGE("https://mitra.stanford.edu/kundaje/oak/projects/neuro-variants/variant_position/credible/roussos_2024/variant_figures/roussos_2024.childhood.Astrocyte/rs314275_count_position.png",4,220,900)</f>
        <v/>
      </c>
      <c r="T3571">
        <f>IMAGE("https://mitra.stanford.edu/kundaje/oak/projects/neuro-variants/variant_position/credible/roussos_2024/variant_figures/roussos_2024.childhood.Astrocyte/rs314275_profile_position.png",4,220,900)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0.151218038</v>
      </c>
      <c r="G3572" t="n">
        <v>0.0300905377853408</v>
      </c>
      <c r="H3572" t="n">
        <v>0.0218899714610124</v>
      </c>
      <c r="I3572" t="n">
        <v>0.09794015838571769</v>
      </c>
      <c r="J3572" t="n">
        <v>0.0156633311198124</v>
      </c>
      <c r="K3572" t="n">
        <v>0.6427271080857052</v>
      </c>
      <c r="L3572" t="b">
        <v>0</v>
      </c>
      <c r="M3572" t="b">
        <v>0</v>
      </c>
      <c r="N3572" t="inlineStr">
        <is>
          <t>alt</t>
        </is>
      </c>
      <c r="O3572" t="n">
        <v>-100</v>
      </c>
      <c r="P3572" t="n">
        <v>0.00954</v>
      </c>
      <c r="Q3572" t="n">
        <v>-15</v>
      </c>
      <c r="R3572" t="n">
        <v>0.0539</v>
      </c>
      <c r="S3572">
        <f>IMAGE("https://mitra.stanford.edu/kundaje/oak/projects/neuro-variants/variant_position/credible/roussos_2024/variant_figures/roussos_2024.childhood.Astrocyte/rs314261_count_position.png",4,220,900)</f>
        <v/>
      </c>
      <c r="T3572">
        <f>IMAGE("https://mitra.stanford.edu/kundaje/oak/projects/neuro-variants/variant_position/credible/roussos_2024/variant_figures/roussos_2024.childhood.Astrocyte/rs314261_profile_position.png",4,220,900)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-0.0222981844</v>
      </c>
      <c r="G3573" t="n">
        <v>0.5041791545750349</v>
      </c>
      <c r="H3573" t="n">
        <v>0.0453080295858418</v>
      </c>
      <c r="I3573" t="n">
        <v>0.0058913803887598</v>
      </c>
      <c r="J3573" t="n">
        <v>0.0066443788021035</v>
      </c>
      <c r="K3573" t="n">
        <v>0.7410080549572736</v>
      </c>
      <c r="L3573" t="b">
        <v>0</v>
      </c>
      <c r="M3573" t="b">
        <v>0</v>
      </c>
      <c r="N3573" t="inlineStr">
        <is>
          <t>ref</t>
        </is>
      </c>
      <c r="O3573" t="n">
        <v>85</v>
      </c>
      <c r="P3573" t="n">
        <v>0.001678</v>
      </c>
      <c r="Q3573" t="n">
        <v>70</v>
      </c>
      <c r="R3573" t="n">
        <v>0.1072</v>
      </c>
      <c r="S3573">
        <f>IMAGE("https://mitra.stanford.edu/kundaje/oak/projects/neuro-variants/variant_position/credible/roussos_2024/variant_figures/roussos_2024.childhood.Astrocyte/rs314260_count_position.png",4,220,900)</f>
        <v/>
      </c>
      <c r="T3573">
        <f>IMAGE("https://mitra.stanford.edu/kundaje/oak/projects/neuro-variants/variant_position/credible/roussos_2024/variant_figures/roussos_2024.childhood.Astrocyte/rs314260_profile_position.png",4,220,900)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-0.0460239134</v>
      </c>
      <c r="G3574" t="n">
        <v>0.2481152314226356</v>
      </c>
      <c r="H3574" t="n">
        <v>0.0223037573065528</v>
      </c>
      <c r="I3574" t="n">
        <v>0.0877161522042484</v>
      </c>
      <c r="J3574" t="n">
        <v>0.0129567294848602</v>
      </c>
      <c r="K3574" t="n">
        <v>0.657115694103462</v>
      </c>
      <c r="L3574" t="b">
        <v>0</v>
      </c>
      <c r="M3574" t="b">
        <v>0</v>
      </c>
      <c r="N3574" t="inlineStr">
        <is>
          <t>ref</t>
        </is>
      </c>
      <c r="O3574" t="n">
        <v>-100</v>
      </c>
      <c r="P3574" t="n">
        <v>0.147</v>
      </c>
      <c r="Q3574" t="n">
        <v>-95</v>
      </c>
      <c r="R3574" t="n">
        <v>0.4153</v>
      </c>
      <c r="S3574">
        <f>IMAGE("https://mitra.stanford.edu/kundaje/oak/projects/neuro-variants/variant_position/credible/roussos_2024/variant_figures/roussos_2024.childhood.Astrocyte/rs191135_count_position.png",4,220,900)</f>
        <v/>
      </c>
      <c r="T3574">
        <f>IMAGE("https://mitra.stanford.edu/kundaje/oak/projects/neuro-variants/variant_position/credible/roussos_2024/variant_figures/roussos_2024.childhood.Astrocyte/rs191135_profile_position.png",4,220,900)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-0.35425742</v>
      </c>
      <c r="G3575" t="n">
        <v>0.0038927490618884</v>
      </c>
      <c r="H3575" t="n">
        <v>0.0580311153973915</v>
      </c>
      <c r="I3575" t="n">
        <v>0.0026285318510303</v>
      </c>
      <c r="J3575" t="n">
        <v>0.07928831490004799</v>
      </c>
      <c r="K3575" t="n">
        <v>0.3756224651942447</v>
      </c>
      <c r="L3575" t="b">
        <v>1</v>
      </c>
      <c r="M3575" t="b">
        <v>1</v>
      </c>
      <c r="N3575" t="inlineStr">
        <is>
          <t>ref</t>
        </is>
      </c>
      <c r="O3575" t="n">
        <v>85</v>
      </c>
      <c r="P3575" t="n">
        <v>0.00777</v>
      </c>
      <c r="Q3575" t="n">
        <v>-60</v>
      </c>
      <c r="R3575" t="n">
        <v>0.1901</v>
      </c>
      <c r="S3575">
        <f>IMAGE("https://mitra.stanford.edu/kundaje/oak/projects/neuro-variants/variant_position/credible/roussos_2024/variant_figures/roussos_2024.childhood.Astrocyte/rs6909292_count_position.png",4,220,900)</f>
        <v/>
      </c>
      <c r="T3575">
        <f>IMAGE("https://mitra.stanford.edu/kundaje/oak/projects/neuro-variants/variant_position/credible/roussos_2024/variant_figures/roussos_2024.childhood.Astrocyte/rs6909292_profile_position.png",4,220,900)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-0.003097892706</v>
      </c>
      <c r="G3576" t="n">
        <v>0.9147892828498146</v>
      </c>
      <c r="H3576" t="n">
        <v>0.007588025085274</v>
      </c>
      <c r="I3576" t="n">
        <v>0.9002397997623925</v>
      </c>
      <c r="J3576" t="n">
        <v>0.0093639562486164</v>
      </c>
      <c r="K3576" t="n">
        <v>0.7028065365152552</v>
      </c>
      <c r="L3576" t="b">
        <v>0</v>
      </c>
      <c r="M3576" t="b">
        <v>0</v>
      </c>
      <c r="N3576" t="inlineStr">
        <is>
          <t>ref</t>
        </is>
      </c>
      <c r="O3576" t="n">
        <v>0</v>
      </c>
      <c r="P3576" t="n">
        <v>0</v>
      </c>
      <c r="Q3576" t="n">
        <v>-100</v>
      </c>
      <c r="R3576" t="n">
        <v>0.2988</v>
      </c>
      <c r="S3576">
        <f>IMAGE("https://mitra.stanford.edu/kundaje/oak/projects/neuro-variants/variant_position/credible/roussos_2024/variant_figures/roussos_2024.childhood.Astrocyte/rs7741285_count_position.png",4,220,900)</f>
        <v/>
      </c>
      <c r="T3576">
        <f>IMAGE("https://mitra.stanford.edu/kundaje/oak/projects/neuro-variants/variant_position/credible/roussos_2024/variant_figures/roussos_2024.childhood.Astrocyte/rs7741285_profile_position.png",4,220,900)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-0.0457252992</v>
      </c>
      <c r="G3577" t="n">
        <v>0.2521809486917208</v>
      </c>
      <c r="H3577" t="n">
        <v>0.0127291731470154</v>
      </c>
      <c r="I3577" t="n">
        <v>0.456792581237557</v>
      </c>
      <c r="J3577" t="n">
        <v>0.0001961637394761</v>
      </c>
      <c r="K3577" t="n">
        <v>0.9734669583310146</v>
      </c>
      <c r="L3577" t="b">
        <v>0</v>
      </c>
      <c r="M3577" t="b">
        <v>0</v>
      </c>
      <c r="N3577" t="inlineStr">
        <is>
          <t>ref</t>
        </is>
      </c>
      <c r="O3577" t="n">
        <v>-35</v>
      </c>
      <c r="P3577" t="n">
        <v>0.0094</v>
      </c>
      <c r="Q3577" t="n">
        <v>-65</v>
      </c>
      <c r="R3577" t="n">
        <v>0.05792</v>
      </c>
      <c r="S3577">
        <f>IMAGE("https://mitra.stanford.edu/kundaje/oak/projects/neuro-variants/variant_position/credible/roussos_2024/variant_figures/roussos_2024.childhood.Astrocyte/rs9400146_count_position.png",4,220,900)</f>
        <v/>
      </c>
      <c r="T3577">
        <f>IMAGE("https://mitra.stanford.edu/kundaje/oak/projects/neuro-variants/variant_position/credible/roussos_2024/variant_figures/roussos_2024.childhood.Astrocyte/rs9400146_profile_position.png",4,220,900)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-0.088757244</v>
      </c>
      <c r="G3578" t="n">
        <v>0.0914304219461798</v>
      </c>
      <c r="H3578" t="n">
        <v>0.0101851221141951</v>
      </c>
      <c r="I3578" t="n">
        <v>0.6985299590997427</v>
      </c>
      <c r="J3578" t="n">
        <v>0.1459152908489996</v>
      </c>
      <c r="K3578" t="n">
        <v>0.2616266320870693</v>
      </c>
      <c r="L3578" t="b">
        <v>0</v>
      </c>
      <c r="M3578" t="b">
        <v>0</v>
      </c>
      <c r="N3578" t="inlineStr">
        <is>
          <t>ref</t>
        </is>
      </c>
      <c r="O3578" t="n">
        <v>-45</v>
      </c>
      <c r="P3578" t="n">
        <v>0.00421</v>
      </c>
      <c r="Q3578" t="n">
        <v>-40</v>
      </c>
      <c r="R3578" t="n">
        <v>0.04102</v>
      </c>
      <c r="S3578">
        <f>IMAGE("https://mitra.stanford.edu/kundaje/oak/projects/neuro-variants/variant_position/credible/roussos_2024/variant_figures/roussos_2024.childhood.Astrocyte/rs75971958_count_position.png",4,220,900)</f>
        <v/>
      </c>
      <c r="T3578">
        <f>IMAGE("https://mitra.stanford.edu/kundaje/oak/projects/neuro-variants/variant_position/credible/roussos_2024/variant_figures/roussos_2024.childhood.Astrocyte/rs75971958_profile_position.png",4,220,900)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-0.01581023894</v>
      </c>
      <c r="G3579" t="n">
        <v>0.4979088372842792</v>
      </c>
      <c r="H3579" t="n">
        <v>0.0363277436632361</v>
      </c>
      <c r="I3579" t="n">
        <v>0.0139507694607965</v>
      </c>
      <c r="J3579" t="n">
        <v>0.1188362986879164</v>
      </c>
      <c r="K3579" t="n">
        <v>0.2957899769090842</v>
      </c>
      <c r="L3579" t="b">
        <v>1</v>
      </c>
      <c r="M3579" t="b">
        <v>0</v>
      </c>
      <c r="N3579" t="inlineStr">
        <is>
          <t>ref</t>
        </is>
      </c>
      <c r="O3579" t="n">
        <v>-60</v>
      </c>
      <c r="P3579" t="n">
        <v>0.002838</v>
      </c>
      <c r="Q3579" t="n">
        <v>-60</v>
      </c>
      <c r="R3579" t="n">
        <v>0.0464</v>
      </c>
      <c r="S3579">
        <f>IMAGE("https://mitra.stanford.edu/kundaje/oak/projects/neuro-variants/variant_position/credible/roussos_2024/variant_figures/roussos_2024.childhood.Astrocyte/rs75280747_count_position.png",4,220,900)</f>
        <v/>
      </c>
      <c r="T3579">
        <f>IMAGE("https://mitra.stanford.edu/kundaje/oak/projects/neuro-variants/variant_position/credible/roussos_2024/variant_figures/roussos_2024.childhood.Astrocyte/rs75280747_profile_position.png",4,220,900)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-0.08090709909999989</v>
      </c>
      <c r="G3580" t="n">
        <v>0.1335431048147415</v>
      </c>
      <c r="H3580" t="n">
        <v>0.016342135886312</v>
      </c>
      <c r="I3580" t="n">
        <v>0.2337496742576811</v>
      </c>
      <c r="J3580" t="n">
        <v>0.1000061062642638</v>
      </c>
      <c r="K3580" t="n">
        <v>0.3273380442089785</v>
      </c>
      <c r="L3580" t="b">
        <v>0</v>
      </c>
      <c r="M3580" t="b">
        <v>0</v>
      </c>
      <c r="N3580" t="inlineStr">
        <is>
          <t>ref</t>
        </is>
      </c>
      <c r="O3580" t="n">
        <v>-100</v>
      </c>
      <c r="P3580" t="n">
        <v>0.008446</v>
      </c>
      <c r="Q3580" t="n">
        <v>-15</v>
      </c>
      <c r="R3580" t="n">
        <v>0.03467</v>
      </c>
      <c r="S3580">
        <f>IMAGE("https://mitra.stanford.edu/kundaje/oak/projects/neuro-variants/variant_position/credible/roussos_2024/variant_figures/roussos_2024.childhood.Astrocyte/rs9386678_count_position.png",4,220,900)</f>
        <v/>
      </c>
      <c r="T3580">
        <f>IMAGE("https://mitra.stanford.edu/kundaje/oak/projects/neuro-variants/variant_position/credible/roussos_2024/variant_figures/roussos_2024.childhood.Astrocyte/rs9386678_profile_position.png",4,220,900)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-0.0049480646</v>
      </c>
      <c r="G3581" t="n">
        <v>0.8478285913182593</v>
      </c>
      <c r="H3581" t="n">
        <v>0.0229615438083067</v>
      </c>
      <c r="I3581" t="n">
        <v>0.0790120744313757</v>
      </c>
      <c r="J3581" t="n">
        <v>0.0101356353949607</v>
      </c>
      <c r="K3581" t="n">
        <v>0.6847103614581672</v>
      </c>
      <c r="L3581" t="b">
        <v>0</v>
      </c>
      <c r="M3581" t="b">
        <v>0</v>
      </c>
      <c r="N3581" t="inlineStr">
        <is>
          <t>ref</t>
        </is>
      </c>
      <c r="O3581" t="n">
        <v>100</v>
      </c>
      <c r="P3581" t="n">
        <v>0.005642</v>
      </c>
      <c r="Q3581" t="n">
        <v>100</v>
      </c>
      <c r="R3581" t="n">
        <v>0.2047</v>
      </c>
      <c r="S3581">
        <f>IMAGE("https://mitra.stanford.edu/kundaje/oak/projects/neuro-variants/variant_position/credible/roussos_2024/variant_figures/roussos_2024.childhood.Astrocyte/rs2355851_count_position.png",4,220,900)</f>
        <v/>
      </c>
      <c r="T3581">
        <f>IMAGE("https://mitra.stanford.edu/kundaje/oak/projects/neuro-variants/variant_position/credible/roussos_2024/variant_figures/roussos_2024.childhood.Astrocyte/rs2355851_profile_position.png",4,220,900)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0.160210522</v>
      </c>
      <c r="G3582" t="n">
        <v>0.0279360779307529</v>
      </c>
      <c r="H3582" t="n">
        <v>0.0208550447379834</v>
      </c>
      <c r="I3582" t="n">
        <v>0.1082569918624107</v>
      </c>
      <c r="J3582" t="n">
        <v>0.1283361193164037</v>
      </c>
      <c r="K3582" t="n">
        <v>0.2884830377565517</v>
      </c>
      <c r="L3582" t="b">
        <v>0</v>
      </c>
      <c r="M3582" t="b">
        <v>0</v>
      </c>
      <c r="N3582" t="inlineStr">
        <is>
          <t>alt</t>
        </is>
      </c>
      <c r="O3582" t="n">
        <v>45</v>
      </c>
      <c r="P3582" t="n">
        <v>0.011734</v>
      </c>
      <c r="Q3582" t="n">
        <v>40</v>
      </c>
      <c r="R3582" t="n">
        <v>0.1113</v>
      </c>
      <c r="S3582">
        <f>IMAGE("https://mitra.stanford.edu/kundaje/oak/projects/neuro-variants/variant_position/credible/roussos_2024/variant_figures/roussos_2024.childhood.Astrocyte/rs7762665_count_position.png",4,220,900)</f>
        <v/>
      </c>
      <c r="T3582">
        <f>IMAGE("https://mitra.stanford.edu/kundaje/oak/projects/neuro-variants/variant_position/credible/roussos_2024/variant_figures/roussos_2024.childhood.Astrocyte/rs7762665_profile_position.png",4,220,900)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-0.0152831273999999</v>
      </c>
      <c r="G3583" t="n">
        <v>0.3010692535509517</v>
      </c>
      <c r="H3583" t="n">
        <v>0.0160804926139752</v>
      </c>
      <c r="I3583" t="n">
        <v>0.2425937943541497</v>
      </c>
      <c r="J3583" t="n">
        <v>0.1642753009243356</v>
      </c>
      <c r="K3583" t="n">
        <v>0.2361173176137386</v>
      </c>
      <c r="L3583" t="b">
        <v>0</v>
      </c>
      <c r="M3583" t="b">
        <v>0</v>
      </c>
      <c r="N3583" t="inlineStr">
        <is>
          <t>ref</t>
        </is>
      </c>
      <c r="O3583" t="n">
        <v>35</v>
      </c>
      <c r="P3583" t="n">
        <v>0.002121</v>
      </c>
      <c r="Q3583" t="n">
        <v>90</v>
      </c>
      <c r="R3583" t="n">
        <v>0.332</v>
      </c>
      <c r="S3583">
        <f>IMAGE("https://mitra.stanford.edu/kundaje/oak/projects/neuro-variants/variant_position/credible/roussos_2024/variant_figures/roussos_2024.childhood.Astrocyte/rs6568544_count_position.png",4,220,900)</f>
        <v/>
      </c>
      <c r="T3583">
        <f>IMAGE("https://mitra.stanford.edu/kundaje/oak/projects/neuro-variants/variant_position/credible/roussos_2024/variant_figures/roussos_2024.childhood.Astrocyte/rs6568544_profile_position.png",4,220,900)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0.1199152659999999</v>
      </c>
      <c r="G3584" t="n">
        <v>0.0557095399846605</v>
      </c>
      <c r="H3584" t="n">
        <v>0.0241816027938961</v>
      </c>
      <c r="I3584" t="n">
        <v>0.0890434530718885</v>
      </c>
      <c r="J3584" t="n">
        <v>0.1377557952264279</v>
      </c>
      <c r="K3584" t="n">
        <v>0.2674804594860436</v>
      </c>
      <c r="L3584" t="b">
        <v>0</v>
      </c>
      <c r="M3584" t="b">
        <v>0</v>
      </c>
      <c r="N3584" t="inlineStr">
        <is>
          <t>alt</t>
        </is>
      </c>
      <c r="O3584" t="n">
        <v>75</v>
      </c>
      <c r="P3584" t="n">
        <v>0.01996</v>
      </c>
      <c r="Q3584" t="n">
        <v>0</v>
      </c>
      <c r="R3584" t="n">
        <v>0</v>
      </c>
      <c r="S3584">
        <f>IMAGE("https://mitra.stanford.edu/kundaje/oak/projects/neuro-variants/variant_position/credible/roussos_2024/variant_figures/roussos_2024.childhood.Astrocyte/rs78061564_count_position.png",4,220,900)</f>
        <v/>
      </c>
      <c r="T3584">
        <f>IMAGE("https://mitra.stanford.edu/kundaje/oak/projects/neuro-variants/variant_position/credible/roussos_2024/variant_figures/roussos_2024.childhood.Astrocyte/rs78061564_profile_position.png",4,220,900)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-0.0382806111999999</v>
      </c>
      <c r="G3585" t="n">
        <v>0.2992846359371419</v>
      </c>
      <c r="H3585" t="n">
        <v>0.0100261566940082</v>
      </c>
      <c r="I3585" t="n">
        <v>0.7186838453264585</v>
      </c>
      <c r="J3585" t="n">
        <v>0.0248883698564264</v>
      </c>
      <c r="K3585" t="n">
        <v>0.5614477890070909</v>
      </c>
      <c r="L3585" t="b">
        <v>0</v>
      </c>
      <c r="M3585" t="b">
        <v>0</v>
      </c>
      <c r="N3585" t="inlineStr">
        <is>
          <t>ref</t>
        </is>
      </c>
      <c r="O3585" t="n">
        <v>-15</v>
      </c>
      <c r="P3585" t="n">
        <v>0.002987</v>
      </c>
      <c r="Q3585" t="n">
        <v>40</v>
      </c>
      <c r="R3585" t="n">
        <v>0.0746</v>
      </c>
      <c r="S3585">
        <f>IMAGE("https://mitra.stanford.edu/kundaje/oak/projects/neuro-variants/variant_position/credible/roussos_2024/variant_figures/roussos_2024.childhood.Astrocyte/rs9398172_count_position.png",4,220,900)</f>
        <v/>
      </c>
      <c r="T3585">
        <f>IMAGE("https://mitra.stanford.edu/kundaje/oak/projects/neuro-variants/variant_position/credible/roussos_2024/variant_figures/roussos_2024.childhood.Astrocyte/rs9398172_profile_position.png",4,220,900)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0.0088184634599999</v>
      </c>
      <c r="G3586" t="n">
        <v>0.5975453565441647</v>
      </c>
      <c r="H3586" t="n">
        <v>0.0136993044234324</v>
      </c>
      <c r="I3586" t="n">
        <v>0.3779685326190164</v>
      </c>
      <c r="J3586" t="n">
        <v>0.0415676306931372</v>
      </c>
      <c r="K3586" t="n">
        <v>0.4759433952007901</v>
      </c>
      <c r="L3586" t="b">
        <v>0</v>
      </c>
      <c r="M3586" t="b">
        <v>0</v>
      </c>
      <c r="N3586" t="inlineStr">
        <is>
          <t>alt</t>
        </is>
      </c>
      <c r="O3586" t="n">
        <v>50</v>
      </c>
      <c r="P3586" t="n">
        <v>0.001709</v>
      </c>
      <c r="Q3586" t="n">
        <v>45</v>
      </c>
      <c r="R3586" t="n">
        <v>0.05313</v>
      </c>
      <c r="S3586">
        <f>IMAGE("https://mitra.stanford.edu/kundaje/oak/projects/neuro-variants/variant_position/credible/roussos_2024/variant_figures/roussos_2024.childhood.Astrocyte/rs3800228_count_position.png",4,220,900)</f>
        <v/>
      </c>
      <c r="T3586">
        <f>IMAGE("https://mitra.stanford.edu/kundaje/oak/projects/neuro-variants/variant_position/credible/roussos_2024/variant_figures/roussos_2024.childhood.Astrocyte/rs3800228_profile_position.png",4,220,900)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-0.0025157676</v>
      </c>
      <c r="G3587" t="n">
        <v>0.1541023354494908</v>
      </c>
      <c r="H3587" t="n">
        <v>0.0246729690008062</v>
      </c>
      <c r="I3587" t="n">
        <v>0.0625388680981168</v>
      </c>
      <c r="J3587" t="n">
        <v>0.1042415638142779</v>
      </c>
      <c r="K3587" t="n">
        <v>0.3149517227731357</v>
      </c>
      <c r="L3587" t="b">
        <v>0</v>
      </c>
      <c r="M3587" t="b">
        <v>0</v>
      </c>
      <c r="N3587" t="inlineStr">
        <is>
          <t>ref</t>
        </is>
      </c>
      <c r="O3587" t="n">
        <v>55</v>
      </c>
      <c r="P3587" t="n">
        <v>0.03522</v>
      </c>
      <c r="Q3587" t="n">
        <v>65</v>
      </c>
      <c r="R3587" t="n">
        <v>0.1194</v>
      </c>
      <c r="S3587">
        <f>IMAGE("https://mitra.stanford.edu/kundaje/oak/projects/neuro-variants/variant_position/credible/roussos_2024/variant_figures/roussos_2024.childhood.Astrocyte/rs9374040_count_position.png",4,220,900)</f>
        <v/>
      </c>
      <c r="T3587">
        <f>IMAGE("https://mitra.stanford.edu/kundaje/oak/projects/neuro-variants/variant_position/credible/roussos_2024/variant_figures/roussos_2024.childhood.Astrocyte/rs9374040_profile_position.png",4,220,900)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-0.01473679508</v>
      </c>
      <c r="G3588" t="n">
        <v>0.6383950992618015</v>
      </c>
      <c r="H3588" t="n">
        <v>0.025758338104887</v>
      </c>
      <c r="I3588" t="n">
        <v>0.0537980714945848</v>
      </c>
      <c r="J3588" t="n">
        <v>0.078586094509705</v>
      </c>
      <c r="K3588" t="n">
        <v>0.3642224008026944</v>
      </c>
      <c r="L3588" t="b">
        <v>0</v>
      </c>
      <c r="M3588" t="b">
        <v>0</v>
      </c>
      <c r="N3588" t="inlineStr">
        <is>
          <t>ref</t>
        </is>
      </c>
      <c r="O3588" t="n">
        <v>-100</v>
      </c>
      <c r="P3588" t="n">
        <v>0.02652</v>
      </c>
      <c r="Q3588" t="n">
        <v>-100</v>
      </c>
      <c r="R3588" t="n">
        <v>0.289</v>
      </c>
      <c r="S3588">
        <f>IMAGE("https://mitra.stanford.edu/kundaje/oak/projects/neuro-variants/variant_position/credible/roussos_2024/variant_figures/roussos_2024.childhood.Astrocyte/rs9400240_count_position.png",4,220,900)</f>
        <v/>
      </c>
      <c r="T3588">
        <f>IMAGE("https://mitra.stanford.edu/kundaje/oak/projects/neuro-variants/variant_position/credible/roussos_2024/variant_figures/roussos_2024.childhood.Astrocyte/rs9400240_profile_position.png",4,220,900)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0.236269153</v>
      </c>
      <c r="G3589" t="n">
        <v>0.0118437847512792</v>
      </c>
      <c r="H3589" t="n">
        <v>0.0348739455079934</v>
      </c>
      <c r="I3589" t="n">
        <v>0.0207483075869288</v>
      </c>
      <c r="J3589" t="n">
        <v>0.0493859387999663</v>
      </c>
      <c r="K3589" t="n">
        <v>0.4578659216979276</v>
      </c>
      <c r="L3589" t="b">
        <v>1</v>
      </c>
      <c r="M3589" t="b">
        <v>0</v>
      </c>
      <c r="N3589" t="inlineStr">
        <is>
          <t>alt</t>
        </is>
      </c>
      <c r="O3589" t="n">
        <v>-90</v>
      </c>
      <c r="P3589" t="n">
        <v>0.006157</v>
      </c>
      <c r="Q3589" t="n">
        <v>-25</v>
      </c>
      <c r="R3589" t="n">
        <v>0.08813</v>
      </c>
      <c r="S3589">
        <f>IMAGE("https://mitra.stanford.edu/kundaje/oak/projects/neuro-variants/variant_position/credible/roussos_2024/variant_figures/roussos_2024.childhood.Astrocyte/rs3800231_count_position.png",4,220,900)</f>
        <v/>
      </c>
      <c r="T3589">
        <f>IMAGE("https://mitra.stanford.edu/kundaje/oak/projects/neuro-variants/variant_position/credible/roussos_2024/variant_figures/roussos_2024.childhood.Astrocyte/rs3800231_profile_position.png",4,220,900)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-0.0176933994</v>
      </c>
      <c r="G3590" t="n">
        <v>0.5510012786648979</v>
      </c>
      <c r="H3590" t="n">
        <v>0.0107246831726137</v>
      </c>
      <c r="I3590" t="n">
        <v>0.6279642512936672</v>
      </c>
      <c r="J3590" t="n">
        <v>0.170275468846603</v>
      </c>
      <c r="K3590" t="n">
        <v>0.2326485226075665</v>
      </c>
      <c r="L3590" t="b">
        <v>0</v>
      </c>
      <c r="M3590" t="b">
        <v>0</v>
      </c>
      <c r="N3590" t="inlineStr">
        <is>
          <t>ref</t>
        </is>
      </c>
      <c r="O3590" t="n">
        <v>-15</v>
      </c>
      <c r="P3590" t="n">
        <v>0.0004692</v>
      </c>
      <c r="Q3590" t="n">
        <v>100</v>
      </c>
      <c r="R3590" t="n">
        <v>0.0882</v>
      </c>
      <c r="S3590">
        <f>IMAGE("https://mitra.stanford.edu/kundaje/oak/projects/neuro-variants/variant_position/credible/roussos_2024/variant_figures/roussos_2024.childhood.Astrocyte/rs9400241_count_position.png",4,220,900)</f>
        <v/>
      </c>
      <c r="T3590">
        <f>IMAGE("https://mitra.stanford.edu/kundaje/oak/projects/neuro-variants/variant_position/credible/roussos_2024/variant_figures/roussos_2024.childhood.Astrocyte/rs9400241_profile_position.png",4,220,900)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-0.0267063666</v>
      </c>
      <c r="G3591" t="n">
        <v>0.4298750068234852</v>
      </c>
      <c r="H3591" t="n">
        <v>0.0401051152677435</v>
      </c>
      <c r="I3591" t="n">
        <v>0.009635630805681399</v>
      </c>
      <c r="J3591" t="n">
        <v>0.0021738300779311</v>
      </c>
      <c r="K3591" t="n">
        <v>0.8740993804602013</v>
      </c>
      <c r="L3591" t="b">
        <v>0</v>
      </c>
      <c r="M3591" t="b">
        <v>0</v>
      </c>
      <c r="N3591" t="inlineStr">
        <is>
          <t>ref</t>
        </is>
      </c>
      <c r="O3591" t="n">
        <v>85</v>
      </c>
      <c r="P3591" t="n">
        <v>0.004395</v>
      </c>
      <c r="Q3591" t="n">
        <v>0</v>
      </c>
      <c r="R3591" t="n">
        <v>0</v>
      </c>
      <c r="S3591">
        <f>IMAGE("https://mitra.stanford.edu/kundaje/oak/projects/neuro-variants/variant_position/credible/roussos_2024/variant_figures/roussos_2024.childhood.Astrocyte/rs112540208_count_position.png",4,220,900)</f>
        <v/>
      </c>
      <c r="T3591">
        <f>IMAGE("https://mitra.stanford.edu/kundaje/oak/projects/neuro-variants/variant_position/credible/roussos_2024/variant_figures/roussos_2024.childhood.Astrocyte/rs112540208_profile_position.png",4,220,900)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0.01729461232</v>
      </c>
      <c r="G3592" t="n">
        <v>0.5795080840821881</v>
      </c>
      <c r="H3592" t="n">
        <v>0.0109674262168028</v>
      </c>
      <c r="I3592" t="n">
        <v>0.6197651048681315</v>
      </c>
      <c r="J3592" t="n">
        <v>0.0120453695434803</v>
      </c>
      <c r="K3592" t="n">
        <v>0.6621455913715975</v>
      </c>
      <c r="L3592" t="b">
        <v>0</v>
      </c>
      <c r="M3592" t="b">
        <v>0</v>
      </c>
      <c r="N3592" t="inlineStr">
        <is>
          <t>alt</t>
        </is>
      </c>
      <c r="O3592" t="n">
        <v>100</v>
      </c>
      <c r="P3592" t="n">
        <v>0.1545</v>
      </c>
      <c r="Q3592" t="n">
        <v>-35</v>
      </c>
      <c r="R3592" t="n">
        <v>0.01944</v>
      </c>
      <c r="S3592">
        <f>IMAGE("https://mitra.stanford.edu/kundaje/oak/projects/neuro-variants/variant_position/credible/roussos_2024/variant_figures/roussos_2024.childhood.Astrocyte/rs9320364_count_position.png",4,220,900)</f>
        <v/>
      </c>
      <c r="T3592">
        <f>IMAGE("https://mitra.stanford.edu/kundaje/oak/projects/neuro-variants/variant_position/credible/roussos_2024/variant_figures/roussos_2024.childhood.Astrocyte/rs9320364_profile_position.png",4,220,900)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0.0349330854</v>
      </c>
      <c r="G3593" t="n">
        <v>0.321341238744724</v>
      </c>
      <c r="H3593" t="n">
        <v>0.0672187465879665</v>
      </c>
      <c r="I3593" t="n">
        <v>0.001464865162839</v>
      </c>
      <c r="J3593" t="n">
        <v>0.0169761779365406</v>
      </c>
      <c r="K3593" t="n">
        <v>0.6235068432260215</v>
      </c>
      <c r="L3593" t="b">
        <v>1</v>
      </c>
      <c r="M3593" t="b">
        <v>0</v>
      </c>
      <c r="N3593" t="inlineStr">
        <is>
          <t>alt</t>
        </is>
      </c>
      <c r="O3593" t="n">
        <v>-65</v>
      </c>
      <c r="P3593" t="n">
        <v>0.00598</v>
      </c>
      <c r="Q3593" t="n">
        <v>85</v>
      </c>
      <c r="R3593" t="n">
        <v>0.06884999999999999</v>
      </c>
      <c r="S3593">
        <f>IMAGE("https://mitra.stanford.edu/kundaje/oak/projects/neuro-variants/variant_position/credible/roussos_2024/variant_figures/roussos_2024.childhood.Astrocyte/rs7746225_count_position.png",4,220,900)</f>
        <v/>
      </c>
      <c r="T3593">
        <f>IMAGE("https://mitra.stanford.edu/kundaje/oak/projects/neuro-variants/variant_position/credible/roussos_2024/variant_figures/roussos_2024.childhood.Astrocyte/rs7746225_profile_position.png",4,220,900)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-0.00542322884</v>
      </c>
      <c r="G3594" t="n">
        <v>0.7899639089783053</v>
      </c>
      <c r="H3594" t="n">
        <v>0.0349942386547355</v>
      </c>
      <c r="I3594" t="n">
        <v>0.0164538058363042</v>
      </c>
      <c r="J3594" t="n">
        <v>0.0227374382694846</v>
      </c>
      <c r="K3594" t="n">
        <v>0.5846739874223263</v>
      </c>
      <c r="L3594" t="b">
        <v>1</v>
      </c>
      <c r="M3594" t="b">
        <v>0</v>
      </c>
      <c r="N3594" t="inlineStr">
        <is>
          <t>ref</t>
        </is>
      </c>
      <c r="O3594" t="n">
        <v>-40</v>
      </c>
      <c r="P3594" t="n">
        <v>0.001556</v>
      </c>
      <c r="Q3594" t="n">
        <v>-35</v>
      </c>
      <c r="R3594" t="n">
        <v>0.02655</v>
      </c>
      <c r="S3594">
        <f>IMAGE("https://mitra.stanford.edu/kundaje/oak/projects/neuro-variants/variant_position/credible/roussos_2024/variant_figures/roussos_2024.childhood.Astrocyte/rs9487653_count_position.png",4,220,900)</f>
        <v/>
      </c>
      <c r="T3594">
        <f>IMAGE("https://mitra.stanford.edu/kundaje/oak/projects/neuro-variants/variant_position/credible/roussos_2024/variant_figures/roussos_2024.childhood.Astrocyte/rs9487653_profile_position.png",4,220,900)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-0.0407812624</v>
      </c>
      <c r="G3595" t="n">
        <v>0.287335535114508</v>
      </c>
      <c r="H3595" t="n">
        <v>0.0464458513133886</v>
      </c>
      <c r="I3595" t="n">
        <v>0.0053311552606573</v>
      </c>
      <c r="J3595" t="n">
        <v>0.0055467778006762</v>
      </c>
      <c r="K3595" t="n">
        <v>0.7583919597217043</v>
      </c>
      <c r="L3595" t="b">
        <v>0</v>
      </c>
      <c r="M3595" t="b">
        <v>0</v>
      </c>
      <c r="N3595" t="inlineStr">
        <is>
          <t>ref</t>
        </is>
      </c>
      <c r="O3595" t="n">
        <v>30</v>
      </c>
      <c r="P3595" t="n">
        <v>0.00354</v>
      </c>
      <c r="Q3595" t="n">
        <v>-100</v>
      </c>
      <c r="R3595" t="n">
        <v>0.04483</v>
      </c>
      <c r="S3595">
        <f>IMAGE("https://mitra.stanford.edu/kundaje/oak/projects/neuro-variants/variant_position/credible/roussos_2024/variant_figures/roussos_2024.childhood.Astrocyte/rs9320366_count_position.png",4,220,900)</f>
        <v/>
      </c>
      <c r="T3595">
        <f>IMAGE("https://mitra.stanford.edu/kundaje/oak/projects/neuro-variants/variant_position/credible/roussos_2024/variant_figures/roussos_2024.childhood.Astrocyte/rs9320366_profile_position.png",4,220,900)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0.297923026</v>
      </c>
      <c r="G3596" t="n">
        <v>0.0061521672835439</v>
      </c>
      <c r="H3596" t="n">
        <v>0.0270330003523588</v>
      </c>
      <c r="I3596" t="n">
        <v>0.0449697919206505</v>
      </c>
      <c r="J3596" t="n">
        <v>0.1411356124964697</v>
      </c>
      <c r="K3596" t="n">
        <v>0.2672714210972592</v>
      </c>
      <c r="L3596" t="b">
        <v>1</v>
      </c>
      <c r="M3596" t="b">
        <v>1</v>
      </c>
      <c r="N3596" t="inlineStr">
        <is>
          <t>alt</t>
        </is>
      </c>
      <c r="O3596" t="n">
        <v>-80</v>
      </c>
      <c r="P3596" t="n">
        <v>0.006012</v>
      </c>
      <c r="Q3596" t="n">
        <v>-100</v>
      </c>
      <c r="R3596" t="n">
        <v>0.05493</v>
      </c>
      <c r="S3596">
        <f>IMAGE("https://mitra.stanford.edu/kundaje/oak/projects/neuro-variants/variant_position/credible/roussos_2024/variant_figures/roussos_2024.childhood.Astrocyte/rs4945884_count_position.png",4,220,900)</f>
        <v/>
      </c>
      <c r="T3596">
        <f>IMAGE("https://mitra.stanford.edu/kundaje/oak/projects/neuro-variants/variant_position/credible/roussos_2024/variant_figures/roussos_2024.childhood.Astrocyte/rs4945884_profile_position.png",4,220,900)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-0.206691358</v>
      </c>
      <c r="G3597" t="n">
        <v>0.0158989478800228</v>
      </c>
      <c r="H3597" t="n">
        <v>0.0182146568649621</v>
      </c>
      <c r="I3597" t="n">
        <v>0.172010314030618</v>
      </c>
      <c r="J3597" t="n">
        <v>0.7234953783212352</v>
      </c>
      <c r="K3597" t="n">
        <v>0.0151540502773768</v>
      </c>
      <c r="L3597" t="b">
        <v>1</v>
      </c>
      <c r="M3597" t="b">
        <v>0</v>
      </c>
      <c r="N3597" t="inlineStr">
        <is>
          <t>ref</t>
        </is>
      </c>
      <c r="O3597" t="n">
        <v>-55</v>
      </c>
      <c r="P3597" t="n">
        <v>0.007423</v>
      </c>
      <c r="Q3597" t="n">
        <v>-35</v>
      </c>
      <c r="R3597" t="n">
        <v>0.1982</v>
      </c>
      <c r="S3597">
        <f>IMAGE("https://mitra.stanford.edu/kundaje/oak/projects/neuro-variants/variant_position/credible/roussos_2024/variant_figures/roussos_2024.childhood.Astrocyte/rs12214623_count_position.png",4,220,900)</f>
        <v/>
      </c>
      <c r="T3597">
        <f>IMAGE("https://mitra.stanford.edu/kundaje/oak/projects/neuro-variants/variant_position/credible/roussos_2024/variant_figures/roussos_2024.childhood.Astrocyte/rs12214623_profile_position.png",4,220,900)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-0.1204711195999999</v>
      </c>
      <c r="G3598" t="n">
        <v>0.0507618294098971</v>
      </c>
      <c r="H3598" t="n">
        <v>0.0177425140734144</v>
      </c>
      <c r="I3598" t="n">
        <v>0.18447772642235</v>
      </c>
      <c r="J3598" t="n">
        <v>0.0186073137780219</v>
      </c>
      <c r="K3598" t="n">
        <v>0.6007993793017103</v>
      </c>
      <c r="L3598" t="b">
        <v>0</v>
      </c>
      <c r="M3598" t="b">
        <v>0</v>
      </c>
      <c r="N3598" t="inlineStr">
        <is>
          <t>ref</t>
        </is>
      </c>
      <c r="O3598" t="n">
        <v>-65</v>
      </c>
      <c r="P3598" t="n">
        <v>0.0907</v>
      </c>
      <c r="Q3598" t="n">
        <v>20</v>
      </c>
      <c r="R3598" t="n">
        <v>0.0227</v>
      </c>
      <c r="S3598">
        <f>IMAGE("https://mitra.stanford.edu/kundaje/oak/projects/neuro-variants/variant_position/credible/roussos_2024/variant_figures/roussos_2024.childhood.Astrocyte/rs1592148_count_position.png",4,220,900)</f>
        <v/>
      </c>
      <c r="T3598">
        <f>IMAGE("https://mitra.stanford.edu/kundaje/oak/projects/neuro-variants/variant_position/credible/roussos_2024/variant_figures/roussos_2024.childhood.Astrocyte/rs1592148_profile_position.png",4,220,900)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-0.1035572232</v>
      </c>
      <c r="G3599" t="n">
        <v>0.0703116471572283</v>
      </c>
      <c r="H3599" t="n">
        <v>0.0142487045320261</v>
      </c>
      <c r="I3599" t="n">
        <v>0.3363280371760246</v>
      </c>
      <c r="J3599" t="n">
        <v>0.0002640959294115</v>
      </c>
      <c r="K3599" t="n">
        <v>0.966930774205608</v>
      </c>
      <c r="L3599" t="b">
        <v>0</v>
      </c>
      <c r="M3599" t="b">
        <v>0</v>
      </c>
      <c r="N3599" t="inlineStr">
        <is>
          <t>ref</t>
        </is>
      </c>
      <c r="O3599" t="n">
        <v>100</v>
      </c>
      <c r="P3599" t="n">
        <v>0.007233</v>
      </c>
      <c r="Q3599" t="n">
        <v>75</v>
      </c>
      <c r="R3599" t="n">
        <v>0.04175</v>
      </c>
      <c r="S3599">
        <f>IMAGE("https://mitra.stanford.edu/kundaje/oak/projects/neuro-variants/variant_position/credible/roussos_2024/variant_figures/roussos_2024.childhood.Astrocyte/rs6568750_count_position.png",4,220,900)</f>
        <v/>
      </c>
      <c r="T3599">
        <f>IMAGE("https://mitra.stanford.edu/kundaje/oak/projects/neuro-variants/variant_position/credible/roussos_2024/variant_figures/roussos_2024.childhood.Astrocyte/rs6568750_profile_position.png",4,220,900)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-0.09023564019999999</v>
      </c>
      <c r="G3600" t="n">
        <v>0.08542648172850729</v>
      </c>
      <c r="H3600" t="n">
        <v>0.0176455165701122</v>
      </c>
      <c r="I3600" t="n">
        <v>0.1974152723839153</v>
      </c>
      <c r="J3600" t="n">
        <v>0.0133986703609564</v>
      </c>
      <c r="K3600" t="n">
        <v>0.651626948338262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0.00714</v>
      </c>
      <c r="Q3600" t="n">
        <v>-100</v>
      </c>
      <c r="R3600" t="n">
        <v>0.0406</v>
      </c>
      <c r="S3600">
        <f>IMAGE("https://mitra.stanford.edu/kundaje/oak/projects/neuro-variants/variant_position/credible/roussos_2024/variant_figures/roussos_2024.childhood.Astrocyte/rs7738702_count_position.png",4,220,900)</f>
        <v/>
      </c>
      <c r="T3600">
        <f>IMAGE("https://mitra.stanford.edu/kundaje/oak/projects/neuro-variants/variant_position/credible/roussos_2024/variant_figures/roussos_2024.childhood.Astrocyte/rs7738702_profile_position.png",4,220,900)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0.02462086788</v>
      </c>
      <c r="G3601" t="n">
        <v>0.4733078456059779</v>
      </c>
      <c r="H3601" t="n">
        <v>0.008963871786464499</v>
      </c>
      <c r="I3601" t="n">
        <v>0.8191919506764938</v>
      </c>
      <c r="J3601" t="n">
        <v>0.0104852190240662</v>
      </c>
      <c r="K3601" t="n">
        <v>0.6909771415521406</v>
      </c>
      <c r="L3601" t="b">
        <v>0</v>
      </c>
      <c r="M3601" t="b">
        <v>0</v>
      </c>
      <c r="N3601" t="inlineStr">
        <is>
          <t>alt</t>
        </is>
      </c>
      <c r="O3601" t="n">
        <v>100</v>
      </c>
      <c r="P3601" t="n">
        <v>0.005478</v>
      </c>
      <c r="Q3601" t="n">
        <v>25</v>
      </c>
      <c r="R3601" t="n">
        <v>0.05377</v>
      </c>
      <c r="S3601">
        <f>IMAGE("https://mitra.stanford.edu/kundaje/oak/projects/neuro-variants/variant_position/credible/roussos_2024/variant_figures/roussos_2024.childhood.Astrocyte/rs6937893_count_position.png",4,220,900)</f>
        <v/>
      </c>
      <c r="T3601">
        <f>IMAGE("https://mitra.stanford.edu/kundaje/oak/projects/neuro-variants/variant_position/credible/roussos_2024/variant_figures/roussos_2024.childhood.Astrocyte/rs6937893_profile_position.png",4,220,900)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-0.0300321548</v>
      </c>
      <c r="G3602" t="n">
        <v>0.3936829641541431</v>
      </c>
      <c r="H3602" t="n">
        <v>0.0092863853686473</v>
      </c>
      <c r="I3602" t="n">
        <v>0.7952088715792174</v>
      </c>
      <c r="J3602" t="n">
        <v>0.1057001976903055</v>
      </c>
      <c r="K3602" t="n">
        <v>0.32547453143061</v>
      </c>
      <c r="L3602" t="b">
        <v>0</v>
      </c>
      <c r="M3602" t="b">
        <v>0</v>
      </c>
      <c r="N3602" t="inlineStr">
        <is>
          <t>ref</t>
        </is>
      </c>
      <c r="O3602" t="n">
        <v>-95</v>
      </c>
      <c r="P3602" t="n">
        <v>0.005898</v>
      </c>
      <c r="Q3602" t="n">
        <v>-95</v>
      </c>
      <c r="R3602" t="n">
        <v>0.1399</v>
      </c>
      <c r="S3602">
        <f>IMAGE("https://mitra.stanford.edu/kundaje/oak/projects/neuro-variants/variant_position/credible/roussos_2024/variant_figures/roussos_2024.childhood.Astrocyte/rs13218679_count_position.png",4,220,900)</f>
        <v/>
      </c>
      <c r="T3602">
        <f>IMAGE("https://mitra.stanford.edu/kundaje/oak/projects/neuro-variants/variant_position/credible/roussos_2024/variant_figures/roussos_2024.childhood.Astrocyte/rs13218679_profile_position.png",4,220,900)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-0.18944844</v>
      </c>
      <c r="G3603" t="n">
        <v>0.0189769602141376</v>
      </c>
      <c r="H3603" t="n">
        <v>0.0235974806201568</v>
      </c>
      <c r="I3603" t="n">
        <v>0.078356203123569</v>
      </c>
      <c r="J3603" t="n">
        <v>0.0603192049643927</v>
      </c>
      <c r="K3603" t="n">
        <v>0.4234311129780486</v>
      </c>
      <c r="L3603" t="b">
        <v>1</v>
      </c>
      <c r="M3603" t="b">
        <v>0</v>
      </c>
      <c r="N3603" t="inlineStr">
        <is>
          <t>ref</t>
        </is>
      </c>
      <c r="O3603" t="n">
        <v>85</v>
      </c>
      <c r="P3603" t="n">
        <v>0.02817</v>
      </c>
      <c r="Q3603" t="n">
        <v>-85</v>
      </c>
      <c r="R3603" t="n">
        <v>0.1831</v>
      </c>
      <c r="S3603">
        <f>IMAGE("https://mitra.stanford.edu/kundaje/oak/projects/neuro-variants/variant_position/credible/roussos_2024/variant_figures/roussos_2024.childhood.Astrocyte/rs2502388_count_position.png",4,220,900)</f>
        <v/>
      </c>
      <c r="T3603">
        <f>IMAGE("https://mitra.stanford.edu/kundaje/oak/projects/neuro-variants/variant_position/credible/roussos_2024/variant_figures/roussos_2024.childhood.Astrocyte/rs2502388_profile_position.png",4,220,900)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0.0217763333999999</v>
      </c>
      <c r="G3604" t="n">
        <v>0.4914981558821748</v>
      </c>
      <c r="H3604" t="n">
        <v>0.0101653051494319</v>
      </c>
      <c r="I3604" t="n">
        <v>0.7032903497852722</v>
      </c>
      <c r="J3604" t="n">
        <v>0.0003869844977215</v>
      </c>
      <c r="K3604" t="n">
        <v>0.9483336492346588</v>
      </c>
      <c r="L3604" t="b">
        <v>0</v>
      </c>
      <c r="M3604" t="b">
        <v>0</v>
      </c>
      <c r="N3604" t="inlineStr">
        <is>
          <t>alt</t>
        </is>
      </c>
      <c r="O3604" t="n">
        <v>-5</v>
      </c>
      <c r="P3604" t="n">
        <v>0.003695</v>
      </c>
      <c r="Q3604" t="n">
        <v>-100</v>
      </c>
      <c r="R3604" t="n">
        <v>0.07489999999999999</v>
      </c>
      <c r="S3604">
        <f>IMAGE("https://mitra.stanford.edu/kundaje/oak/projects/neuro-variants/variant_position/credible/roussos_2024/variant_figures/roussos_2024.childhood.Astrocyte/rs13195261_count_position.png",4,220,900)</f>
        <v/>
      </c>
      <c r="T3604">
        <f>IMAGE("https://mitra.stanford.edu/kundaje/oak/projects/neuro-variants/variant_position/credible/roussos_2024/variant_figures/roussos_2024.childhood.Astrocyte/rs13195261_profile_position.png",4,220,900)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-0.0154988574</v>
      </c>
      <c r="G3605" t="n">
        <v>0.6142220492785208</v>
      </c>
      <c r="H3605" t="n">
        <v>0.0197015755616694</v>
      </c>
      <c r="I3605" t="n">
        <v>0.1333558687550355</v>
      </c>
      <c r="J3605" t="n">
        <v>0.0010166929999312</v>
      </c>
      <c r="K3605" t="n">
        <v>0.9139481126253094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0.03876</v>
      </c>
      <c r="Q3605" t="n">
        <v>100</v>
      </c>
      <c r="R3605" t="n">
        <v>0.1758</v>
      </c>
      <c r="S3605">
        <f>IMAGE("https://mitra.stanford.edu/kundaje/oak/projects/neuro-variants/variant_position/credible/roussos_2024/variant_figures/roussos_2024.childhood.Astrocyte/rs1321026_count_position.png",4,220,900)</f>
        <v/>
      </c>
      <c r="T3605">
        <f>IMAGE("https://mitra.stanford.edu/kundaje/oak/projects/neuro-variants/variant_position/credible/roussos_2024/variant_figures/roussos_2024.childhood.Astrocyte/rs1321026_profile_position.png",4,220,900)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0.01960062498</v>
      </c>
      <c r="G3606" t="n">
        <v>0.5147579050840411</v>
      </c>
      <c r="H3606" t="n">
        <v>0.0215613333513591</v>
      </c>
      <c r="I3606" t="n">
        <v>0.0975945164299301</v>
      </c>
      <c r="J3606" t="n">
        <v>0.0038187050140061</v>
      </c>
      <c r="K3606" t="n">
        <v>0.8079404895232826</v>
      </c>
      <c r="L3606" t="b">
        <v>0</v>
      </c>
      <c r="M3606" t="b">
        <v>0</v>
      </c>
      <c r="N3606" t="inlineStr">
        <is>
          <t>alt</t>
        </is>
      </c>
      <c r="O3606" t="n">
        <v>-30</v>
      </c>
      <c r="P3606" t="n">
        <v>0.001545</v>
      </c>
      <c r="Q3606" t="n">
        <v>-25</v>
      </c>
      <c r="R3606" t="n">
        <v>0.07825</v>
      </c>
      <c r="S3606">
        <f>IMAGE("https://mitra.stanford.edu/kundaje/oak/projects/neuro-variants/variant_position/credible/roussos_2024/variant_figures/roussos_2024.childhood.Astrocyte/rs902780_count_position.png",4,220,900)</f>
        <v/>
      </c>
      <c r="T3606">
        <f>IMAGE("https://mitra.stanford.edu/kundaje/oak/projects/neuro-variants/variant_position/credible/roussos_2024/variant_figures/roussos_2024.childhood.Astrocyte/rs902780_profile_position.png",4,220,900)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0.0387370438</v>
      </c>
      <c r="G3607" t="n">
        <v>0.2757647849947869</v>
      </c>
      <c r="H3607" t="n">
        <v>0.0253694953590469</v>
      </c>
      <c r="I3607" t="n">
        <v>0.0553919763669635</v>
      </c>
      <c r="J3607" t="n">
        <v>0.9712448382984894</v>
      </c>
      <c r="K3607" t="n">
        <v>6.05123469455151e-05</v>
      </c>
      <c r="L3607" t="b">
        <v>0</v>
      </c>
      <c r="M3607" t="b">
        <v>0</v>
      </c>
      <c r="N3607" t="inlineStr">
        <is>
          <t>alt</t>
        </is>
      </c>
      <c r="O3607" t="n">
        <v>-60</v>
      </c>
      <c r="P3607" t="n">
        <v>0.021</v>
      </c>
      <c r="Q3607" t="n">
        <v>-55</v>
      </c>
      <c r="R3607" t="n">
        <v>0.03906</v>
      </c>
      <c r="S3607">
        <f>IMAGE("https://mitra.stanford.edu/kundaje/oak/projects/neuro-variants/variant_position/credible/roussos_2024/variant_figures/roussos_2024.childhood.Astrocyte/rs114000233_count_position.png",4,220,900)</f>
        <v/>
      </c>
      <c r="T3607">
        <f>IMAGE("https://mitra.stanford.edu/kundaje/oak/projects/neuro-variants/variant_position/credible/roussos_2024/variant_figures/roussos_2024.childhood.Astrocyte/rs114000233_profile_position.png",4,220,900)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-0.0292761822</v>
      </c>
      <c r="G3608" t="n">
        <v>0.3515999913752118</v>
      </c>
      <c r="H3608" t="n">
        <v>0.0274271793610228</v>
      </c>
      <c r="I3608" t="n">
        <v>0.0426817703990212</v>
      </c>
      <c r="J3608" t="n">
        <v>0.0567424606718417</v>
      </c>
      <c r="K3608" t="n">
        <v>0.4298016711275952</v>
      </c>
      <c r="L3608" t="b">
        <v>0</v>
      </c>
      <c r="M3608" t="b">
        <v>0</v>
      </c>
      <c r="N3608" t="inlineStr">
        <is>
          <t>ref</t>
        </is>
      </c>
      <c r="O3608" t="n">
        <v>-70</v>
      </c>
      <c r="P3608" t="n">
        <v>0.003174</v>
      </c>
      <c r="Q3608" t="n">
        <v>20</v>
      </c>
      <c r="R3608" t="n">
        <v>0.008545000000000001</v>
      </c>
      <c r="S3608">
        <f>IMAGE("https://mitra.stanford.edu/kundaje/oak/projects/neuro-variants/variant_position/credible/roussos_2024/variant_figures/roussos_2024.childhood.Astrocyte/rs6901738_count_position.png",4,220,900)</f>
        <v/>
      </c>
      <c r="T3608">
        <f>IMAGE("https://mitra.stanford.edu/kundaje/oak/projects/neuro-variants/variant_position/credible/roussos_2024/variant_figures/roussos_2024.childhood.Astrocyte/rs6901738_profile_position.png",4,220,900)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-0.02071713634</v>
      </c>
      <c r="G3609" t="n">
        <v>0.5256778462171219</v>
      </c>
      <c r="H3609" t="n">
        <v>0.046283560631278</v>
      </c>
      <c r="I3609" t="n">
        <v>0.005404531841668</v>
      </c>
      <c r="J3609" t="n">
        <v>0.0314350484303084</v>
      </c>
      <c r="K3609" t="n">
        <v>0.5278010526148506</v>
      </c>
      <c r="L3609" t="b">
        <v>1</v>
      </c>
      <c r="M3609" t="b">
        <v>0</v>
      </c>
      <c r="N3609" t="inlineStr">
        <is>
          <t>ref</t>
        </is>
      </c>
      <c r="O3609" t="n">
        <v>-95</v>
      </c>
      <c r="P3609" t="n">
        <v>0.012634</v>
      </c>
      <c r="Q3609" t="n">
        <v>80</v>
      </c>
      <c r="R3609" t="n">
        <v>0.02728</v>
      </c>
      <c r="S3609">
        <f>IMAGE("https://mitra.stanford.edu/kundaje/oak/projects/neuro-variants/variant_position/credible/roussos_2024/variant_figures/roussos_2024.childhood.Astrocyte/rs4946382_count_position.png",4,220,900)</f>
        <v/>
      </c>
      <c r="T3609">
        <f>IMAGE("https://mitra.stanford.edu/kundaje/oak/projects/neuro-variants/variant_position/credible/roussos_2024/variant_figures/roussos_2024.childhood.Astrocyte/rs4946382_profile_position.png",4,220,900)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-0.0159564594</v>
      </c>
      <c r="G3610" t="n">
        <v>0.465196503251822</v>
      </c>
      <c r="H3610" t="n">
        <v>0.0225325713874755</v>
      </c>
      <c r="I3610" t="n">
        <v>0.08580123475635069</v>
      </c>
      <c r="J3610" t="n">
        <v>0.0129781014097837</v>
      </c>
      <c r="K3610" t="n">
        <v>0.6684139920138175</v>
      </c>
      <c r="L3610" t="b">
        <v>0</v>
      </c>
      <c r="M3610" t="b">
        <v>0</v>
      </c>
      <c r="N3610" t="inlineStr">
        <is>
          <t>ref</t>
        </is>
      </c>
      <c r="O3610" t="n">
        <v>-90</v>
      </c>
      <c r="P3610" t="n">
        <v>0.00685</v>
      </c>
      <c r="Q3610" t="n">
        <v>-90</v>
      </c>
      <c r="R3610" t="n">
        <v>0.1554</v>
      </c>
      <c r="S3610">
        <f>IMAGE("https://mitra.stanford.edu/kundaje/oak/projects/neuro-variants/variant_position/credible/roussos_2024/variant_figures/roussos_2024.childhood.Astrocyte/rs1775620_count_position.png",4,220,900)</f>
        <v/>
      </c>
      <c r="T3610">
        <f>IMAGE("https://mitra.stanford.edu/kundaje/oak/projects/neuro-variants/variant_position/credible/roussos_2024/variant_figures/roussos_2024.childhood.Astrocyte/rs1775620_profile_position.png",4,220,900)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0.03462708046</v>
      </c>
      <c r="G3611" t="n">
        <v>0.3723831538320641</v>
      </c>
      <c r="H3611" t="n">
        <v>0.0108401231830328</v>
      </c>
      <c r="I3611" t="n">
        <v>0.6126203855962201</v>
      </c>
      <c r="J3611" t="n">
        <v>0.013047560165785</v>
      </c>
      <c r="K3611" t="n">
        <v>0.6556827934874176</v>
      </c>
      <c r="L3611" t="b">
        <v>0</v>
      </c>
      <c r="M3611" t="b">
        <v>0</v>
      </c>
      <c r="N3611" t="inlineStr">
        <is>
          <t>alt</t>
        </is>
      </c>
      <c r="O3611" t="n">
        <v>-50</v>
      </c>
      <c r="P3611" t="n">
        <v>0.010376</v>
      </c>
      <c r="Q3611" t="n">
        <v>95</v>
      </c>
      <c r="R3611" t="n">
        <v>0.10693</v>
      </c>
      <c r="S3611">
        <f>IMAGE("https://mitra.stanford.edu/kundaje/oak/projects/neuro-variants/variant_position/credible/roussos_2024/variant_figures/roussos_2024.childhood.Astrocyte/rs6931074_count_position.png",4,220,900)</f>
        <v/>
      </c>
      <c r="T3611">
        <f>IMAGE("https://mitra.stanford.edu/kundaje/oak/projects/neuro-variants/variant_position/credible/roussos_2024/variant_figures/roussos_2024.childhood.Astrocyte/rs6931074_profile_position.png",4,220,900)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-0.02977158008</v>
      </c>
      <c r="G3612" t="n">
        <v>0.4057269289377115</v>
      </c>
      <c r="H3612" t="n">
        <v>0.0162124114851212</v>
      </c>
      <c r="I3612" t="n">
        <v>0.2400107617174099</v>
      </c>
      <c r="J3612" t="n">
        <v>0.2844687168448933</v>
      </c>
      <c r="K3612" t="n">
        <v>0.1442292039086715</v>
      </c>
      <c r="L3612" t="b">
        <v>0</v>
      </c>
      <c r="M3612" t="b">
        <v>0</v>
      </c>
      <c r="N3612" t="inlineStr">
        <is>
          <t>ref</t>
        </is>
      </c>
      <c r="O3612" t="n">
        <v>-100</v>
      </c>
      <c r="P3612" t="n">
        <v>0.003296</v>
      </c>
      <c r="Q3612" t="n">
        <v>100</v>
      </c>
      <c r="R3612" t="n">
        <v>0.2756</v>
      </c>
      <c r="S3612">
        <f>IMAGE("https://mitra.stanford.edu/kundaje/oak/projects/neuro-variants/variant_position/credible/roussos_2024/variant_figures/roussos_2024.childhood.Astrocyte/rs2357023_count_position.png",4,220,900)</f>
        <v/>
      </c>
      <c r="T3612">
        <f>IMAGE("https://mitra.stanford.edu/kundaje/oak/projects/neuro-variants/variant_position/credible/roussos_2024/variant_figures/roussos_2024.childhood.Astrocyte/rs2357023_profile_position.png",4,220,900)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-0.0546528238</v>
      </c>
      <c r="G3613" t="n">
        <v>0.197978049130963</v>
      </c>
      <c r="H3613" t="n">
        <v>0.0134436682383864</v>
      </c>
      <c r="I3613" t="n">
        <v>0.3925428274431135</v>
      </c>
      <c r="J3613" t="n">
        <v>0.1201338798439849</v>
      </c>
      <c r="K3613" t="n">
        <v>0.2968598256946669</v>
      </c>
      <c r="L3613" t="b">
        <v>0</v>
      </c>
      <c r="M3613" t="b">
        <v>0</v>
      </c>
      <c r="N3613" t="inlineStr">
        <is>
          <t>ref</t>
        </is>
      </c>
      <c r="O3613" t="n">
        <v>35</v>
      </c>
      <c r="P3613" t="n">
        <v>0.00602</v>
      </c>
      <c r="Q3613" t="n">
        <v>95</v>
      </c>
      <c r="R3613" t="n">
        <v>0.1135</v>
      </c>
      <c r="S3613">
        <f>IMAGE("https://mitra.stanford.edu/kundaje/oak/projects/neuro-variants/variant_position/credible/roussos_2024/variant_figures/roussos_2024.childhood.Astrocyte/rs6929403_count_position.png",4,220,900)</f>
        <v/>
      </c>
      <c r="T3613">
        <f>IMAGE("https://mitra.stanford.edu/kundaje/oak/projects/neuro-variants/variant_position/credible/roussos_2024/variant_figures/roussos_2024.childhood.Astrocyte/rs6929403_profile_position.png",4,220,900)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0.046122709</v>
      </c>
      <c r="G3614" t="n">
        <v>0.2427331077190486</v>
      </c>
      <c r="H3614" t="n">
        <v>0.0166001806795765</v>
      </c>
      <c r="I3614" t="n">
        <v>0.2212920733538239</v>
      </c>
      <c r="J3614" t="n">
        <v>0.0047376977857158</v>
      </c>
      <c r="K3614" t="n">
        <v>0.7851206974487827</v>
      </c>
      <c r="L3614" t="b">
        <v>0</v>
      </c>
      <c r="M3614" t="b">
        <v>0</v>
      </c>
      <c r="N3614" t="inlineStr">
        <is>
          <t>alt</t>
        </is>
      </c>
      <c r="O3614" t="n">
        <v>20</v>
      </c>
      <c r="P3614" t="n">
        <v>0.002197</v>
      </c>
      <c r="Q3614" t="n">
        <v>-100</v>
      </c>
      <c r="R3614" t="n">
        <v>0.1101</v>
      </c>
      <c r="S3614">
        <f>IMAGE("https://mitra.stanford.edu/kundaje/oak/projects/neuro-variants/variant_position/credible/roussos_2024/variant_figures/roussos_2024.childhood.Astrocyte/rs794249_count_position.png",4,220,900)</f>
        <v/>
      </c>
      <c r="T3614">
        <f>IMAGE("https://mitra.stanford.edu/kundaje/oak/projects/neuro-variants/variant_position/credible/roussos_2024/variant_figures/roussos_2024.childhood.Astrocyte/rs794249_profile_position.png",4,220,900)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0.02926815</v>
      </c>
      <c r="G3615" t="n">
        <v>0.3856207282270321</v>
      </c>
      <c r="H3615" t="n">
        <v>0.0202791084061631</v>
      </c>
      <c r="I3615" t="n">
        <v>0.1192185860310479</v>
      </c>
      <c r="J3615" t="n">
        <v>0.0063505148344056</v>
      </c>
      <c r="K3615" t="n">
        <v>0.7884114596960129</v>
      </c>
      <c r="L3615" t="b">
        <v>0</v>
      </c>
      <c r="M3615" t="b">
        <v>0</v>
      </c>
      <c r="N3615" t="inlineStr">
        <is>
          <t>alt</t>
        </is>
      </c>
      <c r="O3615" t="n">
        <v>85</v>
      </c>
      <c r="P3615" t="n">
        <v>0.00957</v>
      </c>
      <c r="Q3615" t="n">
        <v>100</v>
      </c>
      <c r="R3615" t="n">
        <v>0.2297</v>
      </c>
      <c r="S3615">
        <f>IMAGE("https://mitra.stanford.edu/kundaje/oak/projects/neuro-variants/variant_position/credible/roussos_2024/variant_figures/roussos_2024.childhood.Astrocyte/rs7451540_count_position.png",4,220,900)</f>
        <v/>
      </c>
      <c r="T3615">
        <f>IMAGE("https://mitra.stanford.edu/kundaje/oak/projects/neuro-variants/variant_position/credible/roussos_2024/variant_figures/roussos_2024.childhood.Astrocyte/rs7451540_profile_position.png",4,220,900)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-0.239465168</v>
      </c>
      <c r="G3616" t="n">
        <v>0.0103988832680677</v>
      </c>
      <c r="H3616" t="n">
        <v>0.0409535543754632</v>
      </c>
      <c r="I3616" t="n">
        <v>0.009210668639857899</v>
      </c>
      <c r="J3616" t="n">
        <v>0.0282330761069511</v>
      </c>
      <c r="K3616" t="n">
        <v>0.5405827990024576</v>
      </c>
      <c r="L3616" t="b">
        <v>1</v>
      </c>
      <c r="M3616" t="b">
        <v>0</v>
      </c>
      <c r="N3616" t="inlineStr">
        <is>
          <t>ref</t>
        </is>
      </c>
      <c r="O3616" t="n">
        <v>65</v>
      </c>
      <c r="P3616" t="n">
        <v>0.004684</v>
      </c>
      <c r="Q3616" t="n">
        <v>-70</v>
      </c>
      <c r="R3616" t="n">
        <v>0.1835</v>
      </c>
      <c r="S3616">
        <f>IMAGE("https://mitra.stanford.edu/kundaje/oak/projects/neuro-variants/variant_position/credible/roussos_2024/variant_figures/roussos_2024.childhood.Astrocyte/rs9376742_count_position.png",4,220,900)</f>
        <v/>
      </c>
      <c r="T3616">
        <f>IMAGE("https://mitra.stanford.edu/kundaje/oak/projects/neuro-variants/variant_position/credible/roussos_2024/variant_figures/roussos_2024.childhood.Astrocyte/rs9376742_profile_position.png",4,220,900)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0.04033781743</v>
      </c>
      <c r="G3617" t="n">
        <v>0.1978708958871566</v>
      </c>
      <c r="H3617" t="n">
        <v>0.0191735513004407</v>
      </c>
      <c r="I3617" t="n">
        <v>0.1488745912365932</v>
      </c>
      <c r="J3617" t="n">
        <v>0.0185836520039995</v>
      </c>
      <c r="K3617" t="n">
        <v>0.6030100597575702</v>
      </c>
      <c r="L3617" t="b">
        <v>0</v>
      </c>
      <c r="M3617" t="b">
        <v>0</v>
      </c>
      <c r="N3617" t="inlineStr">
        <is>
          <t>alt</t>
        </is>
      </c>
      <c r="O3617" t="n">
        <v>95</v>
      </c>
      <c r="P3617" t="n">
        <v>0.007645</v>
      </c>
      <c r="Q3617" t="n">
        <v>90</v>
      </c>
      <c r="R3617" t="n">
        <v>0.1083</v>
      </c>
      <c r="S3617">
        <f>IMAGE("https://mitra.stanford.edu/kundaje/oak/projects/neuro-variants/variant_position/credible/roussos_2024/variant_figures/roussos_2024.childhood.Astrocyte/rs2303386_count_position.png",4,220,900)</f>
        <v/>
      </c>
      <c r="T3617">
        <f>IMAGE("https://mitra.stanford.edu/kundaje/oak/projects/neuro-variants/variant_position/credible/roussos_2024/variant_figures/roussos_2024.childhood.Astrocyte/rs2303386_profile_position.png",4,220,900)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0.00107800038</v>
      </c>
      <c r="G3618" t="n">
        <v>0.8590120600071685</v>
      </c>
      <c r="H3618" t="n">
        <v>0.0085313367829134</v>
      </c>
      <c r="I3618" t="n">
        <v>0.8682993767907388</v>
      </c>
      <c r="J3618" t="n">
        <v>0.0001099127567492</v>
      </c>
      <c r="K3618" t="n">
        <v>0.9835512284476798</v>
      </c>
      <c r="L3618" t="b">
        <v>0</v>
      </c>
      <c r="M3618" t="b">
        <v>0</v>
      </c>
      <c r="N3618" t="inlineStr">
        <is>
          <t>alt</t>
        </is>
      </c>
      <c r="O3618" t="n">
        <v>55</v>
      </c>
      <c r="P3618" t="n">
        <v>0.006275</v>
      </c>
      <c r="Q3618" t="n">
        <v>55</v>
      </c>
      <c r="R3618" t="n">
        <v>0.05255</v>
      </c>
      <c r="S3618">
        <f>IMAGE("https://mitra.stanford.edu/kundaje/oak/projects/neuro-variants/variant_position/credible/roussos_2024/variant_figures/roussos_2024.childhood.Astrocyte/rs9376824_count_position.png",4,220,900)</f>
        <v/>
      </c>
      <c r="T3618">
        <f>IMAGE("https://mitra.stanford.edu/kundaje/oak/projects/neuro-variants/variant_position/credible/roussos_2024/variant_figures/roussos_2024.childhood.Astrocyte/rs9376824_profile_position.png",4,220,900)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-0.00767357128</v>
      </c>
      <c r="G3619" t="n">
        <v>0.7978728227404436</v>
      </c>
      <c r="H3619" t="n">
        <v>0.0187398944166135</v>
      </c>
      <c r="I3619" t="n">
        <v>0.1591920759816014</v>
      </c>
      <c r="J3619" t="n">
        <v>0.0293360200896093</v>
      </c>
      <c r="K3619" t="n">
        <v>0.535300927904827</v>
      </c>
      <c r="L3619" t="b">
        <v>0</v>
      </c>
      <c r="M3619" t="b">
        <v>0</v>
      </c>
      <c r="N3619" t="inlineStr">
        <is>
          <t>ref</t>
        </is>
      </c>
      <c r="O3619" t="n">
        <v>80</v>
      </c>
      <c r="P3619" t="n">
        <v>0.004005</v>
      </c>
      <c r="Q3619" t="n">
        <v>90</v>
      </c>
      <c r="R3619" t="n">
        <v>0.08450000000000001</v>
      </c>
      <c r="S3619">
        <f>IMAGE("https://mitra.stanford.edu/kundaje/oak/projects/neuro-variants/variant_position/credible/roussos_2024/variant_figures/roussos_2024.childhood.Astrocyte/rs4896728_count_position.png",4,220,900)</f>
        <v/>
      </c>
      <c r="T3619">
        <f>IMAGE("https://mitra.stanford.edu/kundaje/oak/projects/neuro-variants/variant_position/credible/roussos_2024/variant_figures/roussos_2024.childhood.Astrocyte/rs4896728_profile_position.png",4,220,900)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0.0443350698</v>
      </c>
      <c r="G3620" t="n">
        <v>0.2056261264825909</v>
      </c>
      <c r="H3620" t="n">
        <v>0.0196928769851175</v>
      </c>
      <c r="I3620" t="n">
        <v>0.1329843719019112</v>
      </c>
      <c r="J3620" t="n">
        <v>0.3363857021822262</v>
      </c>
      <c r="K3620" t="n">
        <v>0.115535510441093</v>
      </c>
      <c r="L3620" t="b">
        <v>0</v>
      </c>
      <c r="M3620" t="b">
        <v>0</v>
      </c>
      <c r="N3620" t="inlineStr">
        <is>
          <t>alt</t>
        </is>
      </c>
      <c r="O3620" t="n">
        <v>30</v>
      </c>
      <c r="P3620" t="n">
        <v>0.03986</v>
      </c>
      <c r="Q3620" t="n">
        <v>30</v>
      </c>
      <c r="R3620" t="n">
        <v>0.1357</v>
      </c>
      <c r="S3620">
        <f>IMAGE("https://mitra.stanford.edu/kundaje/oak/projects/neuro-variants/variant_position/credible/roussos_2024/variant_figures/roussos_2024.childhood.Astrocyte/rs9376826_count_position.png",4,220,900)</f>
        <v/>
      </c>
      <c r="T3620">
        <f>IMAGE("https://mitra.stanford.edu/kundaje/oak/projects/neuro-variants/variant_position/credible/roussos_2024/variant_figures/roussos_2024.childhood.Astrocyte/rs9376826_profile_position.png",4,220,900)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0.0031344026</v>
      </c>
      <c r="G3621" t="n">
        <v>0.6365059172556793</v>
      </c>
      <c r="H3621" t="n">
        <v>0.0376415916058474</v>
      </c>
      <c r="I3621" t="n">
        <v>0.0122220413584784</v>
      </c>
      <c r="J3621" t="n">
        <v>0.0137780220283483</v>
      </c>
      <c r="K3621" t="n">
        <v>0.6556879268256055</v>
      </c>
      <c r="L3621" t="b">
        <v>1</v>
      </c>
      <c r="M3621" t="b">
        <v>0</v>
      </c>
      <c r="N3621" t="inlineStr">
        <is>
          <t>alt</t>
        </is>
      </c>
      <c r="O3621" t="n">
        <v>-20</v>
      </c>
      <c r="P3621" t="n">
        <v>0.00403</v>
      </c>
      <c r="Q3621" t="n">
        <v>15</v>
      </c>
      <c r="R3621" t="n">
        <v>0.01697</v>
      </c>
      <c r="S3621">
        <f>IMAGE("https://mitra.stanford.edu/kundaje/oak/projects/neuro-variants/variant_position/credible/roussos_2024/variant_figures/roussos_2024.childhood.Astrocyte/rs9399485_count_position.png",4,220,900)</f>
        <v/>
      </c>
      <c r="T3621">
        <f>IMAGE("https://mitra.stanford.edu/kundaje/oak/projects/neuro-variants/variant_position/credible/roussos_2024/variant_figures/roussos_2024.childhood.Astrocyte/rs9399485_profile_position.png",4,220,900)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0.0017577416799999</v>
      </c>
      <c r="G3622" t="n">
        <v>0.6976011471278312</v>
      </c>
      <c r="H3622" t="n">
        <v>0.0499313563031438</v>
      </c>
      <c r="I3622" t="n">
        <v>0.0041139108145614</v>
      </c>
      <c r="J3622" t="n">
        <v>0.012098036072756</v>
      </c>
      <c r="K3622" t="n">
        <v>0.6761883617977631</v>
      </c>
      <c r="L3622" t="b">
        <v>1</v>
      </c>
      <c r="M3622" t="b">
        <v>0</v>
      </c>
      <c r="N3622" t="inlineStr">
        <is>
          <t>alt</t>
        </is>
      </c>
      <c r="O3622" t="n">
        <v>-10</v>
      </c>
      <c r="P3622" t="n">
        <v>0.001602</v>
      </c>
      <c r="Q3622" t="n">
        <v>-10</v>
      </c>
      <c r="R3622" t="n">
        <v>0.00852</v>
      </c>
      <c r="S3622">
        <f>IMAGE("https://mitra.stanford.edu/kundaje/oak/projects/neuro-variants/variant_position/credible/roussos_2024/variant_figures/roussos_2024.childhood.Astrocyte/rs9403593_count_position.png",4,220,900)</f>
        <v/>
      </c>
      <c r="T3622">
        <f>IMAGE("https://mitra.stanford.edu/kundaje/oak/projects/neuro-variants/variant_position/credible/roussos_2024/variant_figures/roussos_2024.childhood.Astrocyte/rs9403593_profile_position.png",4,220,900)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0.01359640442</v>
      </c>
      <c r="G3623" t="n">
        <v>0.6238840214701694</v>
      </c>
      <c r="H3623" t="n">
        <v>0.0111550899506131</v>
      </c>
      <c r="I3623" t="n">
        <v>0.5891177487863406</v>
      </c>
      <c r="J3623" t="n">
        <v>0.0251600986161678</v>
      </c>
      <c r="K3623" t="n">
        <v>0.5568018846735018</v>
      </c>
      <c r="L3623" t="b">
        <v>0</v>
      </c>
      <c r="M3623" t="b">
        <v>0</v>
      </c>
      <c r="N3623" t="inlineStr">
        <is>
          <t>alt</t>
        </is>
      </c>
      <c r="O3623" t="n">
        <v>75</v>
      </c>
      <c r="P3623" t="n">
        <v>0.001205</v>
      </c>
      <c r="Q3623" t="n">
        <v>-75</v>
      </c>
      <c r="R3623" t="n">
        <v>0.06610000000000001</v>
      </c>
      <c r="S3623">
        <f>IMAGE("https://mitra.stanford.edu/kundaje/oak/projects/neuro-variants/variant_position/credible/roussos_2024/variant_figures/roussos_2024.childhood.Astrocyte/rs4131500_count_position.png",4,220,900)</f>
        <v/>
      </c>
      <c r="T3623">
        <f>IMAGE("https://mitra.stanford.edu/kundaje/oak/projects/neuro-variants/variant_position/credible/roussos_2024/variant_figures/roussos_2024.childhood.Astrocyte/rs4131500_profile_position.png",4,220,900)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0.0379712216</v>
      </c>
      <c r="G3624" t="n">
        <v>0.2954380834806356</v>
      </c>
      <c r="H3624" t="n">
        <v>0.0141774788251635</v>
      </c>
      <c r="I3624" t="n">
        <v>0.3429511727688244</v>
      </c>
      <c r="J3624" t="n">
        <v>0.1976712234663735</v>
      </c>
      <c r="K3624" t="n">
        <v>0.2027588720847264</v>
      </c>
      <c r="L3624" t="b">
        <v>0</v>
      </c>
      <c r="M3624" t="b">
        <v>0</v>
      </c>
      <c r="N3624" t="inlineStr">
        <is>
          <t>alt</t>
        </is>
      </c>
      <c r="O3624" t="n">
        <v>35</v>
      </c>
      <c r="P3624" t="n">
        <v>0.00201</v>
      </c>
      <c r="Q3624" t="n">
        <v>-100</v>
      </c>
      <c r="R3624" t="n">
        <v>0.0818</v>
      </c>
      <c r="S3624">
        <f>IMAGE("https://mitra.stanford.edu/kundaje/oak/projects/neuro-variants/variant_position/credible/roussos_2024/variant_figures/roussos_2024.childhood.Astrocyte/rs6927442_count_position.png",4,220,900)</f>
        <v/>
      </c>
      <c r="T3624">
        <f>IMAGE("https://mitra.stanford.edu/kundaje/oak/projects/neuro-variants/variant_position/credible/roussos_2024/variant_figures/roussos_2024.childhood.Astrocyte/rs6927442_profile_position.png",4,220,900)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0.0144314744</v>
      </c>
      <c r="G3625" t="n">
        <v>0.5362861596264563</v>
      </c>
      <c r="H3625" t="n">
        <v>0.0109471806980134</v>
      </c>
      <c r="I3625" t="n">
        <v>0.6193765804366874</v>
      </c>
      <c r="J3625" t="n">
        <v>0.0033034889667437</v>
      </c>
      <c r="K3625" t="n">
        <v>0.8376519492282364</v>
      </c>
      <c r="L3625" t="b">
        <v>0</v>
      </c>
      <c r="M3625" t="b">
        <v>0</v>
      </c>
      <c r="N3625" t="inlineStr">
        <is>
          <t>alt</t>
        </is>
      </c>
      <c r="O3625" t="n">
        <v>-70</v>
      </c>
      <c r="P3625" t="n">
        <v>0.009025999999999999</v>
      </c>
      <c r="Q3625" t="n">
        <v>45</v>
      </c>
      <c r="R3625" t="n">
        <v>0.065</v>
      </c>
      <c r="S3625">
        <f>IMAGE("https://mitra.stanford.edu/kundaje/oak/projects/neuro-variants/variant_position/credible/roussos_2024/variant_figures/roussos_2024.childhood.Astrocyte/rs9376859_count_position.png",4,220,900)</f>
        <v/>
      </c>
      <c r="T3625">
        <f>IMAGE("https://mitra.stanford.edu/kundaje/oak/projects/neuro-variants/variant_position/credible/roussos_2024/variant_figures/roussos_2024.childhood.Astrocyte/rs9376859_profile_position.png",4,220,900)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0.08641988519999989</v>
      </c>
      <c r="G3626" t="n">
        <v>0.1229003032100586</v>
      </c>
      <c r="H3626" t="n">
        <v>0.017081588239776</v>
      </c>
      <c r="I3626" t="n">
        <v>0.2047450700832455</v>
      </c>
      <c r="J3626" t="n">
        <v>0.290117774571989</v>
      </c>
      <c r="K3626" t="n">
        <v>0.1378471821187014</v>
      </c>
      <c r="L3626" t="b">
        <v>0</v>
      </c>
      <c r="M3626" t="b">
        <v>0</v>
      </c>
      <c r="N3626" t="inlineStr">
        <is>
          <t>alt</t>
        </is>
      </c>
      <c r="O3626" t="n">
        <v>-40</v>
      </c>
      <c r="P3626" t="n">
        <v>0.006836</v>
      </c>
      <c r="Q3626" t="n">
        <v>-45</v>
      </c>
      <c r="R3626" t="n">
        <v>0.04297</v>
      </c>
      <c r="S3626">
        <f>IMAGE("https://mitra.stanford.edu/kundaje/oak/projects/neuro-variants/variant_position/credible/roussos_2024/variant_figures/roussos_2024.childhood.Astrocyte/rs2268665_count_position.png",4,220,900)</f>
        <v/>
      </c>
      <c r="T3626">
        <f>IMAGE("https://mitra.stanford.edu/kundaje/oak/projects/neuro-variants/variant_position/credible/roussos_2024/variant_figures/roussos_2024.childhood.Astrocyte/rs2268665_profile_position.png",4,220,900)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0.0037738422199999</v>
      </c>
      <c r="G3627" t="n">
        <v>0.827694058645829</v>
      </c>
      <c r="H3627" t="n">
        <v>0.0111551731640767</v>
      </c>
      <c r="I3627" t="n">
        <v>0.5801459512381884</v>
      </c>
      <c r="J3627" t="n">
        <v>0.0546457221802416</v>
      </c>
      <c r="K3627" t="n">
        <v>0.4470842156243824</v>
      </c>
      <c r="L3627" t="b">
        <v>0</v>
      </c>
      <c r="M3627" t="b">
        <v>0</v>
      </c>
      <c r="N3627" t="inlineStr">
        <is>
          <t>alt</t>
        </is>
      </c>
      <c r="O3627" t="n">
        <v>-85</v>
      </c>
      <c r="P3627" t="n">
        <v>0.02325</v>
      </c>
      <c r="Q3627" t="n">
        <v>90</v>
      </c>
      <c r="R3627" t="n">
        <v>0.2605</v>
      </c>
      <c r="S3627">
        <f>IMAGE("https://mitra.stanford.edu/kundaje/oak/projects/neuro-variants/variant_position/credible/roussos_2024/variant_figures/roussos_2024.childhood.Astrocyte/rs4896868_count_position.png",4,220,900)</f>
        <v/>
      </c>
      <c r="T3627">
        <f>IMAGE("https://mitra.stanford.edu/kundaje/oak/projects/neuro-variants/variant_position/credible/roussos_2024/variant_figures/roussos_2024.childhood.Astrocyte/rs4896868_profile_position.png",4,220,900)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-0.0055649030399999</v>
      </c>
      <c r="G3628" t="n">
        <v>0.8351604212110325</v>
      </c>
      <c r="H3628" t="n">
        <v>0.0053055006318975</v>
      </c>
      <c r="I3628" t="n">
        <v>0.9983509369747156</v>
      </c>
      <c r="J3628" t="n">
        <v>0.0028668910718783</v>
      </c>
      <c r="K3628" t="n">
        <v>0.8327627988405042</v>
      </c>
      <c r="L3628" t="b">
        <v>0</v>
      </c>
      <c r="M3628" t="b">
        <v>0</v>
      </c>
      <c r="N3628" t="inlineStr">
        <is>
          <t>ref</t>
        </is>
      </c>
      <c r="O3628" t="n">
        <v>100</v>
      </c>
      <c r="P3628" t="n">
        <v>0.00843</v>
      </c>
      <c r="Q3628" t="n">
        <v>-45</v>
      </c>
      <c r="R3628" t="n">
        <v>0.07056</v>
      </c>
      <c r="S3628">
        <f>IMAGE("https://mitra.stanford.edu/kundaje/oak/projects/neuro-variants/variant_position/credible/roussos_2024/variant_figures/roussos_2024.childhood.Astrocyte/rs2206959_count_position.png",4,220,900)</f>
        <v/>
      </c>
      <c r="T3628">
        <f>IMAGE("https://mitra.stanford.edu/kundaje/oak/projects/neuro-variants/variant_position/credible/roussos_2024/variant_figures/roussos_2024.childhood.Astrocyte/rs2206959_profile_position.png",4,220,900)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-0.00297273278</v>
      </c>
      <c r="G3629" t="n">
        <v>0.8337628456982271</v>
      </c>
      <c r="H3629" t="n">
        <v>0.0276187189785064</v>
      </c>
      <c r="I3629" t="n">
        <v>0.0408833086117971</v>
      </c>
      <c r="J3629" t="n">
        <v>0.0126720249135581</v>
      </c>
      <c r="K3629" t="n">
        <v>0.6574810754949849</v>
      </c>
      <c r="L3629" t="b">
        <v>0</v>
      </c>
      <c r="M3629" t="b">
        <v>0</v>
      </c>
      <c r="N3629" t="inlineStr">
        <is>
          <t>ref</t>
        </is>
      </c>
      <c r="O3629" t="n">
        <v>-100</v>
      </c>
      <c r="P3629" t="n">
        <v>0.2003</v>
      </c>
      <c r="Q3629" t="n">
        <v>-100</v>
      </c>
      <c r="R3629" t="n">
        <v>0.1381</v>
      </c>
      <c r="S3629">
        <f>IMAGE("https://mitra.stanford.edu/kundaje/oak/projects/neuro-variants/variant_position/credible/roussos_2024/variant_figures/roussos_2024.childhood.Astrocyte/rs9372017_count_position.png",4,220,900)</f>
        <v/>
      </c>
      <c r="T3629">
        <f>IMAGE("https://mitra.stanford.edu/kundaje/oak/projects/neuro-variants/variant_position/credible/roussos_2024/variant_figures/roussos_2024.childhood.Astrocyte/rs9372017_profile_position.png",4,220,900)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0.0194487502</v>
      </c>
      <c r="G3630" t="n">
        <v>0.527965058549726</v>
      </c>
      <c r="H3630" t="n">
        <v>0.0135714719977263</v>
      </c>
      <c r="I3630" t="n">
        <v>0.3868853457462949</v>
      </c>
      <c r="J3630" t="n">
        <v>0.0081495729431429</v>
      </c>
      <c r="K3630" t="n">
        <v>0.712724100758375</v>
      </c>
      <c r="L3630" t="b">
        <v>0</v>
      </c>
      <c r="M3630" t="b">
        <v>0</v>
      </c>
      <c r="N3630" t="inlineStr">
        <is>
          <t>alt</t>
        </is>
      </c>
      <c r="O3630" t="n">
        <v>85</v>
      </c>
      <c r="P3630" t="n">
        <v>0.001488</v>
      </c>
      <c r="Q3630" t="n">
        <v>-100</v>
      </c>
      <c r="R3630" t="n">
        <v>0.06396</v>
      </c>
      <c r="S3630">
        <f>IMAGE("https://mitra.stanford.edu/kundaje/oak/projects/neuro-variants/variant_position/credible/roussos_2024/variant_figures/roussos_2024.childhood.Astrocyte/rs287943_count_position.png",4,220,900)</f>
        <v/>
      </c>
      <c r="T3630">
        <f>IMAGE("https://mitra.stanford.edu/kundaje/oak/projects/neuro-variants/variant_position/credible/roussos_2024/variant_figures/roussos_2024.childhood.Astrocyte/rs287943_profile_position.png",4,220,900)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0.0340274817</v>
      </c>
      <c r="G3631" t="n">
        <v>0.2278912574670119</v>
      </c>
      <c r="H3631" t="n">
        <v>0.0156733192606873</v>
      </c>
      <c r="I3631" t="n">
        <v>0.2736698715001412</v>
      </c>
      <c r="J3631" t="n">
        <v>0.0059184966377381</v>
      </c>
      <c r="K3631" t="n">
        <v>0.7692217771820794</v>
      </c>
      <c r="L3631" t="b">
        <v>0</v>
      </c>
      <c r="M3631" t="b">
        <v>0</v>
      </c>
      <c r="N3631" t="inlineStr">
        <is>
          <t>alt</t>
        </is>
      </c>
      <c r="O3631" t="n">
        <v>-85</v>
      </c>
      <c r="P3631" t="n">
        <v>0.02481</v>
      </c>
      <c r="Q3631" t="n">
        <v>-90</v>
      </c>
      <c r="R3631" t="n">
        <v>0.1642</v>
      </c>
      <c r="S3631">
        <f>IMAGE("https://mitra.stanford.edu/kundaje/oak/projects/neuro-variants/variant_position/credible/roussos_2024/variant_figures/roussos_2024.childhood.Astrocyte/rs6928411_count_position.png",4,220,900)</f>
        <v/>
      </c>
      <c r="T3631">
        <f>IMAGE("https://mitra.stanford.edu/kundaje/oak/projects/neuro-variants/variant_position/credible/roussos_2024/variant_figures/roussos_2024.childhood.Astrocyte/rs6928411_profile_position.png",4,220,900)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-0.1240928304</v>
      </c>
      <c r="G3632" t="n">
        <v>0.0665248681256114</v>
      </c>
      <c r="H3632" t="n">
        <v>0.0252908738135484</v>
      </c>
      <c r="I3632" t="n">
        <v>0.0637277398091227</v>
      </c>
      <c r="J3632" t="n">
        <v>0.0133605062093074</v>
      </c>
      <c r="K3632" t="n">
        <v>0.6627069822382055</v>
      </c>
      <c r="L3632" t="b">
        <v>0</v>
      </c>
      <c r="M3632" t="b">
        <v>0</v>
      </c>
      <c r="N3632" t="inlineStr">
        <is>
          <t>ref</t>
        </is>
      </c>
      <c r="O3632" t="n">
        <v>-60</v>
      </c>
      <c r="P3632" t="n">
        <v>0.00507</v>
      </c>
      <c r="Q3632" t="n">
        <v>5</v>
      </c>
      <c r="R3632" t="n">
        <v>0.00403</v>
      </c>
      <c r="S3632">
        <f>IMAGE("https://mitra.stanford.edu/kundaje/oak/projects/neuro-variants/variant_position/credible/roussos_2024/variant_figures/roussos_2024.childhood.Astrocyte/rs1407509_count_position.png",4,220,900)</f>
        <v/>
      </c>
      <c r="T3632">
        <f>IMAGE("https://mitra.stanford.edu/kundaje/oak/projects/neuro-variants/variant_position/credible/roussos_2024/variant_figures/roussos_2024.childhood.Astrocyte/rs1407509_profile_position.png",4,220,900)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-0.0403710598</v>
      </c>
      <c r="G3633" t="n">
        <v>0.2844112902663274</v>
      </c>
      <c r="H3633" t="n">
        <v>0.0099885596253177</v>
      </c>
      <c r="I3633" t="n">
        <v>0.718580822527923</v>
      </c>
      <c r="J3633" t="n">
        <v>0.1048483738254982</v>
      </c>
      <c r="K3633" t="n">
        <v>0.3288440729741893</v>
      </c>
      <c r="L3633" t="b">
        <v>0</v>
      </c>
      <c r="M3633" t="b">
        <v>0</v>
      </c>
      <c r="N3633" t="inlineStr">
        <is>
          <t>ref</t>
        </is>
      </c>
      <c r="O3633" t="n">
        <v>-100</v>
      </c>
      <c r="P3633" t="n">
        <v>0.002964</v>
      </c>
      <c r="Q3633" t="n">
        <v>-100</v>
      </c>
      <c r="R3633" t="n">
        <v>0.1892</v>
      </c>
      <c r="S3633">
        <f>IMAGE("https://mitra.stanford.edu/kundaje/oak/projects/neuro-variants/variant_position/credible/roussos_2024/variant_figures/roussos_2024.childhood.Astrocyte/rs147044092_count_position.png",4,220,900)</f>
        <v/>
      </c>
      <c r="T3633">
        <f>IMAGE("https://mitra.stanford.edu/kundaje/oak/projects/neuro-variants/variant_position/credible/roussos_2024/variant_figures/roussos_2024.childhood.Astrocyte/rs147044092_profile_position.png",4,220,900)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0.0841488998</v>
      </c>
      <c r="G3634" t="n">
        <v>0.0944348023539244</v>
      </c>
      <c r="H3634" t="n">
        <v>0.0125911115959532</v>
      </c>
      <c r="I3634" t="n">
        <v>0.4630639725606266</v>
      </c>
      <c r="J3634" t="n">
        <v>0.011029439826582</v>
      </c>
      <c r="K3634" t="n">
        <v>0.7090860111828979</v>
      </c>
      <c r="L3634" t="b">
        <v>0</v>
      </c>
      <c r="M3634" t="b">
        <v>0</v>
      </c>
      <c r="N3634" t="inlineStr">
        <is>
          <t>alt</t>
        </is>
      </c>
      <c r="O3634" t="n">
        <v>-70</v>
      </c>
      <c r="P3634" t="n">
        <v>0.014786</v>
      </c>
      <c r="Q3634" t="n">
        <v>-20</v>
      </c>
      <c r="R3634" t="n">
        <v>0.03247</v>
      </c>
      <c r="S3634">
        <f>IMAGE("https://mitra.stanford.edu/kundaje/oak/projects/neuro-variants/variant_position/credible/roussos_2024/variant_figures/roussos_2024.childhood.Astrocyte/rs59034682_count_position.png",4,220,900)</f>
        <v/>
      </c>
      <c r="T3634">
        <f>IMAGE("https://mitra.stanford.edu/kundaje/oak/projects/neuro-variants/variant_position/credible/roussos_2024/variant_figures/roussos_2024.childhood.Astrocyte/rs59034682_profile_position.png",4,220,900)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0.0738457684</v>
      </c>
      <c r="G3635" t="n">
        <v>0.1190639915320666</v>
      </c>
      <c r="H3635" t="n">
        <v>0.0190866098832582</v>
      </c>
      <c r="I3635" t="n">
        <v>0.1475262325278682</v>
      </c>
      <c r="J3635" t="n">
        <v>0.0023936555914298</v>
      </c>
      <c r="K3635" t="n">
        <v>0.8631428226423321</v>
      </c>
      <c r="L3635" t="b">
        <v>0</v>
      </c>
      <c r="M3635" t="b">
        <v>0</v>
      </c>
      <c r="N3635" t="inlineStr">
        <is>
          <t>alt</t>
        </is>
      </c>
      <c r="O3635" t="n">
        <v>100</v>
      </c>
      <c r="P3635" t="n">
        <v>0.015396</v>
      </c>
      <c r="Q3635" t="n">
        <v>-100</v>
      </c>
      <c r="R3635" t="n">
        <v>0.1405</v>
      </c>
      <c r="S3635">
        <f>IMAGE("https://mitra.stanford.edu/kundaje/oak/projects/neuro-variants/variant_position/credible/roussos_2024/variant_figures/roussos_2024.childhood.Astrocyte/rs113650580_count_position.png",4,220,900)</f>
        <v/>
      </c>
      <c r="T3635">
        <f>IMAGE("https://mitra.stanford.edu/kundaje/oak/projects/neuro-variants/variant_position/credible/roussos_2024/variant_figures/roussos_2024.childhood.Astrocyte/rs113650580_profile_position.png",4,220,900)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0.0481019978</v>
      </c>
      <c r="G3636" t="n">
        <v>0.1714190537738481</v>
      </c>
      <c r="H3636" t="n">
        <v>0.0128752495805666</v>
      </c>
      <c r="I3636" t="n">
        <v>0.4415870831864151</v>
      </c>
      <c r="J3636" t="n">
        <v>0.0336249074519322</v>
      </c>
      <c r="K3636" t="n">
        <v>0.510971019210359</v>
      </c>
      <c r="L3636" t="b">
        <v>0</v>
      </c>
      <c r="M3636" t="b">
        <v>0</v>
      </c>
      <c r="N3636" t="inlineStr">
        <is>
          <t>alt</t>
        </is>
      </c>
      <c r="O3636" t="n">
        <v>50</v>
      </c>
      <c r="P3636" t="n">
        <v>0.005856</v>
      </c>
      <c r="Q3636" t="n">
        <v>100</v>
      </c>
      <c r="R3636" t="n">
        <v>0.1273</v>
      </c>
      <c r="S3636">
        <f>IMAGE("https://mitra.stanford.edu/kundaje/oak/projects/neuro-variants/variant_position/credible/roussos_2024/variant_figures/roussos_2024.childhood.Astrocyte/rs79222572_count_position.png",4,220,900)</f>
        <v/>
      </c>
      <c r="T3636">
        <f>IMAGE("https://mitra.stanford.edu/kundaje/oak/projects/neuro-variants/variant_position/credible/roussos_2024/variant_figures/roussos_2024.childhood.Astrocyte/rs79222572_profile_position.png",4,220,900)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-0.0019044743199999</v>
      </c>
      <c r="G3637" t="n">
        <v>0.8893218329988783</v>
      </c>
      <c r="H3637" t="n">
        <v>0.0225137190336194</v>
      </c>
      <c r="I3637" t="n">
        <v>0.0843445615889407</v>
      </c>
      <c r="J3637" t="n">
        <v>0.0009403646966331</v>
      </c>
      <c r="K3637" t="n">
        <v>0.9150124734559985</v>
      </c>
      <c r="L3637" t="b">
        <v>0</v>
      </c>
      <c r="M3637" t="b">
        <v>0</v>
      </c>
      <c r="N3637" t="inlineStr">
        <is>
          <t>ref</t>
        </is>
      </c>
      <c r="O3637" t="n">
        <v>10</v>
      </c>
      <c r="P3637" t="n">
        <v>0.0001831</v>
      </c>
      <c r="Q3637" t="n">
        <v>15</v>
      </c>
      <c r="R3637" t="n">
        <v>0.013</v>
      </c>
      <c r="S3637">
        <f>IMAGE("https://mitra.stanford.edu/kundaje/oak/projects/neuro-variants/variant_position/credible/roussos_2024/variant_figures/roussos_2024.childhood.Astrocyte/rs55855028_count_position.png",4,220,900)</f>
        <v/>
      </c>
      <c r="T3637">
        <f>IMAGE("https://mitra.stanford.edu/kundaje/oak/projects/neuro-variants/variant_position/credible/roussos_2024/variant_figures/roussos_2024.childhood.Astrocyte/rs55855028_profile_position.png",4,220,900)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-0.0025934349399999</v>
      </c>
      <c r="G3638" t="n">
        <v>0.7971567419746579</v>
      </c>
      <c r="H3638" t="n">
        <v>0.0106064778994545</v>
      </c>
      <c r="I3638" t="n">
        <v>0.6583149488223912</v>
      </c>
      <c r="J3638" t="n">
        <v>0.0006449741628692</v>
      </c>
      <c r="K3638" t="n">
        <v>0.9399831119844486</v>
      </c>
      <c r="L3638" t="b">
        <v>0</v>
      </c>
      <c r="M3638" t="b">
        <v>0</v>
      </c>
      <c r="N3638" t="inlineStr">
        <is>
          <t>ref</t>
        </is>
      </c>
      <c r="O3638" t="n">
        <v>75</v>
      </c>
      <c r="P3638" t="n">
        <v>0.04745</v>
      </c>
      <c r="Q3638" t="n">
        <v>-65</v>
      </c>
      <c r="R3638" t="n">
        <v>0.07513</v>
      </c>
      <c r="S3638">
        <f>IMAGE("https://mitra.stanford.edu/kundaje/oak/projects/neuro-variants/variant_position/credible/roussos_2024/variant_figures/roussos_2024.childhood.Astrocyte/rs75952763_count_position.png",4,220,900)</f>
        <v/>
      </c>
      <c r="T3638">
        <f>IMAGE("https://mitra.stanford.edu/kundaje/oak/projects/neuro-variants/variant_position/credible/roussos_2024/variant_figures/roussos_2024.childhood.Astrocyte/rs75952763_profile_position.png",4,220,900)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-0.0171519516</v>
      </c>
      <c r="G3639" t="n">
        <v>0.5899028763835065</v>
      </c>
      <c r="H3639" t="n">
        <v>0.0336188770444776</v>
      </c>
      <c r="I3639" t="n">
        <v>0.0193598880917652</v>
      </c>
      <c r="J3639" t="n">
        <v>0.0005449840855487001</v>
      </c>
      <c r="K3639" t="n">
        <v>0.9416860327223856</v>
      </c>
      <c r="L3639" t="b">
        <v>0</v>
      </c>
      <c r="M3639" t="b">
        <v>0</v>
      </c>
      <c r="N3639" t="inlineStr">
        <is>
          <t>ref</t>
        </is>
      </c>
      <c r="O3639" t="n">
        <v>100</v>
      </c>
      <c r="P3639" t="n">
        <v>0.00403</v>
      </c>
      <c r="Q3639" t="n">
        <v>10</v>
      </c>
      <c r="R3639" t="n">
        <v>0.007202</v>
      </c>
      <c r="S3639">
        <f>IMAGE("https://mitra.stanford.edu/kundaje/oak/projects/neuro-variants/variant_position/credible/roussos_2024/variant_figures/roussos_2024.childhood.Astrocyte/rs9347029_count_position.png",4,220,900)</f>
        <v/>
      </c>
      <c r="T3639">
        <f>IMAGE("https://mitra.stanford.edu/kundaje/oak/projects/neuro-variants/variant_position/credible/roussos_2024/variant_figures/roussos_2024.childhood.Astrocyte/rs9347029_profile_position.png",4,220,900)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-0.0719573806</v>
      </c>
      <c r="G3640" t="n">
        <v>0.1347722696355081</v>
      </c>
      <c r="H3640" t="n">
        <v>0.0123741851449859</v>
      </c>
      <c r="I3640" t="n">
        <v>0.4815025774381317</v>
      </c>
      <c r="J3640" t="n">
        <v>0.0006938242769801</v>
      </c>
      <c r="K3640" t="n">
        <v>0.925549687371653</v>
      </c>
      <c r="L3640" t="b">
        <v>0</v>
      </c>
      <c r="M3640" t="b">
        <v>0</v>
      </c>
      <c r="N3640" t="inlineStr">
        <is>
          <t>ref</t>
        </is>
      </c>
      <c r="O3640" t="n">
        <v>70</v>
      </c>
      <c r="P3640" t="n">
        <v>0.136</v>
      </c>
      <c r="Q3640" t="n">
        <v>85</v>
      </c>
      <c r="R3640" t="n">
        <v>0.2131</v>
      </c>
      <c r="S3640">
        <f>IMAGE("https://mitra.stanford.edu/kundaje/oak/projects/neuro-variants/variant_position/credible/roussos_2024/variant_figures/roussos_2024.childhood.Astrocyte/rs1912669_count_position.png",4,220,900)</f>
        <v/>
      </c>
      <c r="T3640">
        <f>IMAGE("https://mitra.stanford.edu/kundaje/oak/projects/neuro-variants/variant_position/credible/roussos_2024/variant_figures/roussos_2024.childhood.Astrocyte/rs1912669_profile_position.png",4,220,900)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-0.2057368699999999</v>
      </c>
      <c r="G3641" t="n">
        <v>0.0165526448868541</v>
      </c>
      <c r="H3641" t="n">
        <v>0.0195928817969288</v>
      </c>
      <c r="I3641" t="n">
        <v>0.1447727680172053</v>
      </c>
      <c r="J3641" t="n">
        <v>0.5495073008022104</v>
      </c>
      <c r="K3641" t="n">
        <v>0.0438982461164951</v>
      </c>
      <c r="L3641" t="b">
        <v>1</v>
      </c>
      <c r="M3641" t="b">
        <v>0</v>
      </c>
      <c r="N3641" t="inlineStr">
        <is>
          <t>ref</t>
        </is>
      </c>
      <c r="O3641" t="n">
        <v>65</v>
      </c>
      <c r="P3641" t="n">
        <v>0.0556</v>
      </c>
      <c r="Q3641" t="n">
        <v>65</v>
      </c>
      <c r="R3641" t="n">
        <v>0.391</v>
      </c>
      <c r="S3641">
        <f>IMAGE("https://mitra.stanford.edu/kundaje/oak/projects/neuro-variants/variant_position/credible/roussos_2024/variant_figures/roussos_2024.childhood.Astrocyte/rs978164_count_position.png",4,220,900)</f>
        <v/>
      </c>
      <c r="T3641">
        <f>IMAGE("https://mitra.stanford.edu/kundaje/oak/projects/neuro-variants/variant_position/credible/roussos_2024/variant_figures/roussos_2024.childhood.Astrocyte/rs978164_profile_position.png",4,220,900)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-0.07148188699999999</v>
      </c>
      <c r="G3642" t="n">
        <v>0.1318106080650715</v>
      </c>
      <c r="H3642" t="n">
        <v>0.0205937866879901</v>
      </c>
      <c r="I3642" t="n">
        <v>0.1200604482468203</v>
      </c>
      <c r="J3642" t="n">
        <v>0.0087327211803408</v>
      </c>
      <c r="K3642" t="n">
        <v>0.7223116903228902</v>
      </c>
      <c r="L3642" t="b">
        <v>0</v>
      </c>
      <c r="M3642" t="b">
        <v>0</v>
      </c>
      <c r="N3642" t="inlineStr">
        <is>
          <t>ref</t>
        </is>
      </c>
      <c r="O3642" t="n">
        <v>-35</v>
      </c>
      <c r="P3642" t="n">
        <v>0.008059999999999999</v>
      </c>
      <c r="Q3642" t="n">
        <v>-100</v>
      </c>
      <c r="R3642" t="n">
        <v>0.1437</v>
      </c>
      <c r="S3642">
        <f>IMAGE("https://mitra.stanford.edu/kundaje/oak/projects/neuro-variants/variant_position/credible/roussos_2024/variant_figures/roussos_2024.childhood.Astrocyte/rs1467085_count_position.png",4,220,900)</f>
        <v/>
      </c>
      <c r="T3642">
        <f>IMAGE("https://mitra.stanford.edu/kundaje/oak/projects/neuro-variants/variant_position/credible/roussos_2024/variant_figures/roussos_2024.childhood.Astrocyte/rs1467085_profile_position.png",4,220,900)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0.07276615559999999</v>
      </c>
      <c r="G3643" t="n">
        <v>0.1226181094159543</v>
      </c>
      <c r="H3643" t="n">
        <v>0.0308838394716869</v>
      </c>
      <c r="I3643" t="n">
        <v>0.0266096137936567</v>
      </c>
      <c r="J3643" t="n">
        <v>0.0235198033782906</v>
      </c>
      <c r="K3643" t="n">
        <v>0.5634268462205284</v>
      </c>
      <c r="L3643" t="b">
        <v>0</v>
      </c>
      <c r="M3643" t="b">
        <v>0</v>
      </c>
      <c r="N3643" t="inlineStr">
        <is>
          <t>alt</t>
        </is>
      </c>
      <c r="O3643" t="n">
        <v>75</v>
      </c>
      <c r="P3643" t="n">
        <v>0.03412</v>
      </c>
      <c r="Q3643" t="n">
        <v>-85</v>
      </c>
      <c r="R3643" t="n">
        <v>0.04272</v>
      </c>
      <c r="S3643">
        <f>IMAGE("https://mitra.stanford.edu/kundaje/oak/projects/neuro-variants/variant_position/credible/roussos_2024/variant_figures/roussos_2024.childhood.Astrocyte/rs1995942_count_position.png",4,220,900)</f>
        <v/>
      </c>
      <c r="T3643">
        <f>IMAGE("https://mitra.stanford.edu/kundaje/oak/projects/neuro-variants/variant_position/credible/roussos_2024/variant_figures/roussos_2024.childhood.Astrocyte/rs1995942_profile_position.png",4,220,900)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-0.0345115825999999</v>
      </c>
      <c r="G3644" t="n">
        <v>0.3529659007210693</v>
      </c>
      <c r="H3644" t="n">
        <v>0.0094243920467263</v>
      </c>
      <c r="I3644" t="n">
        <v>0.7251302230771923</v>
      </c>
      <c r="J3644" t="n">
        <v>0.1958507934327127</v>
      </c>
      <c r="K3644" t="n">
        <v>0.2078253814885956</v>
      </c>
      <c r="L3644" t="b">
        <v>0</v>
      </c>
      <c r="M3644" t="b">
        <v>0</v>
      </c>
      <c r="N3644" t="inlineStr">
        <is>
          <t>ref</t>
        </is>
      </c>
      <c r="O3644" t="n">
        <v>-70</v>
      </c>
      <c r="P3644" t="n">
        <v>0.008240000000000001</v>
      </c>
      <c r="Q3644" t="n">
        <v>-100</v>
      </c>
      <c r="R3644" t="n">
        <v>0.0929</v>
      </c>
      <c r="S3644">
        <f>IMAGE("https://mitra.stanford.edu/kundaje/oak/projects/neuro-variants/variant_position/credible/roussos_2024/variant_figures/roussos_2024.childhood.Astrocyte/rs2092778_count_position.png",4,220,900)</f>
        <v/>
      </c>
      <c r="T3644">
        <f>IMAGE("https://mitra.stanford.edu/kundaje/oak/projects/neuro-variants/variant_position/credible/roussos_2024/variant_figures/roussos_2024.childhood.Astrocyte/rs2092778_profile_position.png",4,220,900)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-0.109049945</v>
      </c>
      <c r="G3645" t="n">
        <v>0.0672787975418858</v>
      </c>
      <c r="H3645" t="n">
        <v>0.0164393071059031</v>
      </c>
      <c r="I3645" t="n">
        <v>0.2360887294273812</v>
      </c>
      <c r="J3645" t="n">
        <v>0.4215650355308251</v>
      </c>
      <c r="K3645" t="n">
        <v>0.0787802310799967</v>
      </c>
      <c r="L3645" t="b">
        <v>0</v>
      </c>
      <c r="M3645" t="b">
        <v>0</v>
      </c>
      <c r="N3645" t="inlineStr">
        <is>
          <t>ref</t>
        </is>
      </c>
      <c r="O3645" t="n">
        <v>0</v>
      </c>
      <c r="P3645" t="n">
        <v>0</v>
      </c>
      <c r="Q3645" t="n">
        <v>0</v>
      </c>
      <c r="R3645" t="n">
        <v>0</v>
      </c>
      <c r="S3645">
        <f>IMAGE("https://mitra.stanford.edu/kundaje/oak/projects/neuro-variants/variant_position/credible/roussos_2024/variant_figures/roussos_2024.childhood.Astrocyte/rs6914386_count_position.png",4,220,900)</f>
        <v/>
      </c>
      <c r="T3645">
        <f>IMAGE("https://mitra.stanford.edu/kundaje/oak/projects/neuro-variants/variant_position/credible/roussos_2024/variant_figures/roussos_2024.childhood.Astrocyte/rs6914386_profile_position.png",4,220,900)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-0.0150103276</v>
      </c>
      <c r="G3646" t="n">
        <v>0.6157546662091856</v>
      </c>
      <c r="H3646" t="n">
        <v>0.0158155894069829</v>
      </c>
      <c r="I3646" t="n">
        <v>0.263659791627352</v>
      </c>
      <c r="J3646" t="n">
        <v>0.02939250303405</v>
      </c>
      <c r="K3646" t="n">
        <v>0.5442156852493168</v>
      </c>
      <c r="L3646" t="b">
        <v>0</v>
      </c>
      <c r="M3646" t="b">
        <v>0</v>
      </c>
      <c r="N3646" t="inlineStr">
        <is>
          <t>ref</t>
        </is>
      </c>
      <c r="O3646" t="n">
        <v>-70</v>
      </c>
      <c r="P3646" t="n">
        <v>0.004784</v>
      </c>
      <c r="Q3646" t="n">
        <v>-100</v>
      </c>
      <c r="R3646" t="n">
        <v>0.07464999999999999</v>
      </c>
      <c r="S3646">
        <f>IMAGE("https://mitra.stanford.edu/kundaje/oak/projects/neuro-variants/variant_position/credible/roussos_2024/variant_figures/roussos_2024.childhood.Astrocyte/rs78450636_count_position.png",4,220,900)</f>
        <v/>
      </c>
      <c r="T3646">
        <f>IMAGE("https://mitra.stanford.edu/kundaje/oak/projects/neuro-variants/variant_position/credible/roussos_2024/variant_figures/roussos_2024.childhood.Astrocyte/rs78450636_profile_position.png",4,220,900)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-0.0768181087999999</v>
      </c>
      <c r="G3647" t="n">
        <v>0.1243115994764429</v>
      </c>
      <c r="H3647" t="n">
        <v>0.0152190295500375</v>
      </c>
      <c r="I3647" t="n">
        <v>0.2843360502446601</v>
      </c>
      <c r="J3647" t="n">
        <v>0.3565020265164525</v>
      </c>
      <c r="K3647" t="n">
        <v>0.105064659986394</v>
      </c>
      <c r="L3647" t="b">
        <v>0</v>
      </c>
      <c r="M3647" t="b">
        <v>0</v>
      </c>
      <c r="N3647" t="inlineStr">
        <is>
          <t>ref</t>
        </is>
      </c>
      <c r="O3647" t="n">
        <v>-100</v>
      </c>
      <c r="P3647" t="n">
        <v>0.00758</v>
      </c>
      <c r="Q3647" t="n">
        <v>30</v>
      </c>
      <c r="R3647" t="n">
        <v>0.0337</v>
      </c>
      <c r="S3647">
        <f>IMAGE("https://mitra.stanford.edu/kundaje/oak/projects/neuro-variants/variant_position/credible/roussos_2024/variant_figures/roussos_2024.childhood.Astrocyte/rs9366218_count_position.png",4,220,900)</f>
        <v/>
      </c>
      <c r="T3647">
        <f>IMAGE("https://mitra.stanford.edu/kundaje/oak/projects/neuro-variants/variant_position/credible/roussos_2024/variant_figures/roussos_2024.childhood.Astrocyte/rs9366218_profile_position.png",4,220,900)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-0.1168020472</v>
      </c>
      <c r="G3648" t="n">
        <v>0.0518757855256366</v>
      </c>
      <c r="H3648" t="n">
        <v>0.0181348638884001</v>
      </c>
      <c r="I3648" t="n">
        <v>0.1822432018164526</v>
      </c>
      <c r="J3648" t="n">
        <v>0.0581774327738468</v>
      </c>
      <c r="K3648" t="n">
        <v>0.4462258577653789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0.02168</v>
      </c>
      <c r="Q3648" t="n">
        <v>100</v>
      </c>
      <c r="R3648" t="n">
        <v>0.2534</v>
      </c>
      <c r="S3648">
        <f>IMAGE("https://mitra.stanford.edu/kundaje/oak/projects/neuro-variants/variant_position/credible/roussos_2024/variant_figures/roussos_2024.childhood.Astrocyte/rs10081152_count_position.png",4,220,900)</f>
        <v/>
      </c>
      <c r="T3648">
        <f>IMAGE("https://mitra.stanford.edu/kundaje/oak/projects/neuro-variants/variant_position/credible/roussos_2024/variant_figures/roussos_2024.childhood.Astrocyte/rs10081152_profile_position.png",4,220,900)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0.0482005892</v>
      </c>
      <c r="G3649" t="n">
        <v>0.2189374373594434</v>
      </c>
      <c r="H3649" t="n">
        <v>0.0130516017949719</v>
      </c>
      <c r="I3649" t="n">
        <v>0.429974849551858</v>
      </c>
      <c r="J3649" t="n">
        <v>0.2921374214772579</v>
      </c>
      <c r="K3649" t="n">
        <v>0.1369552075205726</v>
      </c>
      <c r="L3649" t="b">
        <v>0</v>
      </c>
      <c r="M3649" t="b">
        <v>0</v>
      </c>
      <c r="N3649" t="inlineStr">
        <is>
          <t>alt</t>
        </is>
      </c>
      <c r="O3649" t="n">
        <v>35</v>
      </c>
      <c r="P3649" t="n">
        <v>0.006256</v>
      </c>
      <c r="Q3649" t="n">
        <v>-95</v>
      </c>
      <c r="R3649" t="n">
        <v>0.162</v>
      </c>
      <c r="S3649">
        <f>IMAGE("https://mitra.stanford.edu/kundaje/oak/projects/neuro-variants/variant_position/credible/roussos_2024/variant_figures/roussos_2024.childhood.Astrocyte/rs12532128_count_position.png",4,220,900)</f>
        <v/>
      </c>
      <c r="T3649">
        <f>IMAGE("https://mitra.stanford.edu/kundaje/oak/projects/neuro-variants/variant_position/credible/roussos_2024/variant_figures/roussos_2024.childhood.Astrocyte/rs12532128_profile_position.png",4,220,900)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-0.06293755719999999</v>
      </c>
      <c r="G3650" t="n">
        <v>0.1561209053493207</v>
      </c>
      <c r="H3650" t="n">
        <v>0.0187946550303777</v>
      </c>
      <c r="I3650" t="n">
        <v>0.1531399442182681</v>
      </c>
      <c r="J3650" t="n">
        <v>0.41556028791036</v>
      </c>
      <c r="K3650" t="n">
        <v>0.0810940432553712</v>
      </c>
      <c r="L3650" t="b">
        <v>0</v>
      </c>
      <c r="M3650" t="b">
        <v>0</v>
      </c>
      <c r="N3650" t="inlineStr">
        <is>
          <t>ref</t>
        </is>
      </c>
      <c r="O3650" t="n">
        <v>-55</v>
      </c>
      <c r="P3650" t="n">
        <v>0.0006065000000000001</v>
      </c>
      <c r="Q3650" t="n">
        <v>-70</v>
      </c>
      <c r="R3650" t="n">
        <v>0.0381</v>
      </c>
      <c r="S3650">
        <f>IMAGE("https://mitra.stanford.edu/kundaje/oak/projects/neuro-variants/variant_position/credible/roussos_2024/variant_figures/roussos_2024.childhood.Astrocyte/rs4236277_count_position.png",4,220,900)</f>
        <v/>
      </c>
      <c r="T3650">
        <f>IMAGE("https://mitra.stanford.edu/kundaje/oak/projects/neuro-variants/variant_position/credible/roussos_2024/variant_figures/roussos_2024.childhood.Astrocyte/rs4236277_profile_position.png",4,220,900)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-0.0307092158</v>
      </c>
      <c r="G3651" t="n">
        <v>0.3118486320113911</v>
      </c>
      <c r="H3651" t="n">
        <v>0.0112663608624354</v>
      </c>
      <c r="I3651" t="n">
        <v>0.5714994125005125</v>
      </c>
      <c r="J3651" t="n">
        <v>0.3384175616160227</v>
      </c>
      <c r="K3651" t="n">
        <v>0.1110040886948687</v>
      </c>
      <c r="L3651" t="b">
        <v>0</v>
      </c>
      <c r="M3651" t="b">
        <v>0</v>
      </c>
      <c r="N3651" t="inlineStr">
        <is>
          <t>ref</t>
        </is>
      </c>
      <c r="O3651" t="n">
        <v>-15</v>
      </c>
      <c r="P3651" t="n">
        <v>0.002037</v>
      </c>
      <c r="Q3651" t="n">
        <v>-20</v>
      </c>
      <c r="R3651" t="n">
        <v>0.1323</v>
      </c>
      <c r="S3651">
        <f>IMAGE("https://mitra.stanford.edu/kundaje/oak/projects/neuro-variants/variant_position/credible/roussos_2024/variant_figures/roussos_2024.childhood.Astrocyte/rs12699439_count_position.png",4,220,900)</f>
        <v/>
      </c>
      <c r="T3651">
        <f>IMAGE("https://mitra.stanford.edu/kundaje/oak/projects/neuro-variants/variant_position/credible/roussos_2024/variant_figures/roussos_2024.childhood.Astrocyte/rs12699439_profile_position.png",4,220,900)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0.1038171288</v>
      </c>
      <c r="G3652" t="n">
        <v>0.0666663980044653</v>
      </c>
      <c r="H3652" t="n">
        <v>0.0113738443757954</v>
      </c>
      <c r="I3652" t="n">
        <v>0.5693406361584903</v>
      </c>
      <c r="J3652" t="n">
        <v>0.7673810995855372</v>
      </c>
      <c r="K3652" t="n">
        <v>0.0109704567479576</v>
      </c>
      <c r="L3652" t="b">
        <v>0</v>
      </c>
      <c r="M3652" t="b">
        <v>0</v>
      </c>
      <c r="N3652" t="inlineStr">
        <is>
          <t>alt</t>
        </is>
      </c>
      <c r="O3652" t="n">
        <v>100</v>
      </c>
      <c r="P3652" t="n">
        <v>0.02298</v>
      </c>
      <c r="Q3652" t="n">
        <v>-100</v>
      </c>
      <c r="R3652" t="n">
        <v>0.1562</v>
      </c>
      <c r="S3652">
        <f>IMAGE("https://mitra.stanford.edu/kundaje/oak/projects/neuro-variants/variant_position/credible/roussos_2024/variant_figures/roussos_2024.childhood.Astrocyte/rs79606759_count_position.png",4,220,900)</f>
        <v/>
      </c>
      <c r="T3652">
        <f>IMAGE("https://mitra.stanford.edu/kundaje/oak/projects/neuro-variants/variant_position/credible/roussos_2024/variant_figures/roussos_2024.childhood.Astrocyte/rs79606759_profile_position.png",4,220,900)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0.009502162999999999</v>
      </c>
      <c r="G3653" t="n">
        <v>0.4321981073107481</v>
      </c>
      <c r="H3653" t="n">
        <v>0.0313260382604344</v>
      </c>
      <c r="I3653" t="n">
        <v>0.0275504643392259</v>
      </c>
      <c r="J3653" t="n">
        <v>0.775870333478357</v>
      </c>
      <c r="K3653" t="n">
        <v>0.0102789460211274</v>
      </c>
      <c r="L3653" t="b">
        <v>0</v>
      </c>
      <c r="M3653" t="b">
        <v>0</v>
      </c>
      <c r="N3653" t="inlineStr">
        <is>
          <t>alt</t>
        </is>
      </c>
      <c r="O3653" t="n">
        <v>-20</v>
      </c>
      <c r="P3653" t="n">
        <v>0.002167</v>
      </c>
      <c r="Q3653" t="n">
        <v>90</v>
      </c>
      <c r="R3653" t="n">
        <v>0.1503</v>
      </c>
      <c r="S3653">
        <f>IMAGE("https://mitra.stanford.edu/kundaje/oak/projects/neuro-variants/variant_position/credible/roussos_2024/variant_figures/roussos_2024.childhood.Astrocyte/rs76150572_count_position.png",4,220,900)</f>
        <v/>
      </c>
      <c r="T3653">
        <f>IMAGE("https://mitra.stanford.edu/kundaje/oak/projects/neuro-variants/variant_position/credible/roussos_2024/variant_figures/roussos_2024.childhood.Astrocyte/rs76150572_profile_position.png",4,220,900)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0.001817692894</v>
      </c>
      <c r="G3654" t="n">
        <v>0.8081691062655262</v>
      </c>
      <c r="H3654" t="n">
        <v>0.0072268101356556</v>
      </c>
      <c r="I3654" t="n">
        <v>0.9198647829253398</v>
      </c>
      <c r="J3654" t="n">
        <v>0.0515109187637867</v>
      </c>
      <c r="K3654" t="n">
        <v>0.4380377000839374</v>
      </c>
      <c r="L3654" t="b">
        <v>0</v>
      </c>
      <c r="M3654" t="b">
        <v>0</v>
      </c>
      <c r="N3654" t="inlineStr">
        <is>
          <t>alt</t>
        </is>
      </c>
      <c r="O3654" t="n">
        <v>95</v>
      </c>
      <c r="P3654" t="n">
        <v>0.002632</v>
      </c>
      <c r="Q3654" t="n">
        <v>-15</v>
      </c>
      <c r="R3654" t="n">
        <v>0.03128</v>
      </c>
      <c r="S3654">
        <f>IMAGE("https://mitra.stanford.edu/kundaje/oak/projects/neuro-variants/variant_position/credible/roussos_2024/variant_figures/roussos_2024.childhood.Astrocyte/rs117831773_count_position.png",4,220,900)</f>
        <v/>
      </c>
      <c r="T3654">
        <f>IMAGE("https://mitra.stanford.edu/kundaje/oak/projects/neuro-variants/variant_position/credible/roussos_2024/variant_figures/roussos_2024.childhood.Astrocyte/rs117831773_profile_position.png",4,220,900)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-0.0109918593599999</v>
      </c>
      <c r="G3655" t="n">
        <v>0.5724683116168714</v>
      </c>
      <c r="H3655" t="n">
        <v>0.0121124548742994</v>
      </c>
      <c r="I3655" t="n">
        <v>0.5086001444725452</v>
      </c>
      <c r="J3655" t="n">
        <v>0.1870944104783494</v>
      </c>
      <c r="K3655" t="n">
        <v>0.2153036739457039</v>
      </c>
      <c r="L3655" t="b">
        <v>0</v>
      </c>
      <c r="M3655" t="b">
        <v>0</v>
      </c>
      <c r="N3655" t="inlineStr">
        <is>
          <t>ref</t>
        </is>
      </c>
      <c r="O3655" t="n">
        <v>-100</v>
      </c>
      <c r="P3655" t="n">
        <v>0.007393</v>
      </c>
      <c r="Q3655" t="n">
        <v>-35</v>
      </c>
      <c r="R3655" t="n">
        <v>0.03564</v>
      </c>
      <c r="S3655">
        <f>IMAGE("https://mitra.stanford.edu/kundaje/oak/projects/neuro-variants/variant_position/credible/roussos_2024/variant_figures/roussos_2024.childhood.Astrocyte/rs75285243_count_position.png",4,220,900)</f>
        <v/>
      </c>
      <c r="T3655">
        <f>IMAGE("https://mitra.stanford.edu/kundaje/oak/projects/neuro-variants/variant_position/credible/roussos_2024/variant_figures/roussos_2024.childhood.Astrocyte/rs75285243_profile_position.png",4,220,900)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0.03455987752</v>
      </c>
      <c r="G3656" t="n">
        <v>0.1574333290305101</v>
      </c>
      <c r="H3656" t="n">
        <v>0.0121249991979188</v>
      </c>
      <c r="I3656" t="n">
        <v>0.4961635951655541</v>
      </c>
      <c r="J3656" t="n">
        <v>0.1824467800905253</v>
      </c>
      <c r="K3656" t="n">
        <v>0.2200540229906903</v>
      </c>
      <c r="L3656" t="b">
        <v>0</v>
      </c>
      <c r="M3656" t="b">
        <v>0</v>
      </c>
      <c r="N3656" t="inlineStr">
        <is>
          <t>alt</t>
        </is>
      </c>
      <c r="O3656" t="n">
        <v>70</v>
      </c>
      <c r="P3656" t="n">
        <v>0.004616</v>
      </c>
      <c r="Q3656" t="n">
        <v>-25</v>
      </c>
      <c r="R3656" t="n">
        <v>0.03735</v>
      </c>
      <c r="S3656">
        <f>IMAGE("https://mitra.stanford.edu/kundaje/oak/projects/neuro-variants/variant_position/credible/roussos_2024/variant_figures/roussos_2024.childhood.Astrocyte/rs76124438_count_position.png",4,220,900)</f>
        <v/>
      </c>
      <c r="T3656">
        <f>IMAGE("https://mitra.stanford.edu/kundaje/oak/projects/neuro-variants/variant_position/credible/roussos_2024/variant_figures/roussos_2024.childhood.Astrocyte/rs76124438_profile_position.png",4,220,900)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-0.2085901599999999</v>
      </c>
      <c r="G3657" t="n">
        <v>0.0148340165236008</v>
      </c>
      <c r="H3657" t="n">
        <v>0.028136529439431</v>
      </c>
      <c r="I3657" t="n">
        <v>0.0389215994240145</v>
      </c>
      <c r="J3657" t="n">
        <v>0.4254341172250081</v>
      </c>
      <c r="K3657" t="n">
        <v>0.0787629578154766</v>
      </c>
      <c r="L3657" t="b">
        <v>1</v>
      </c>
      <c r="M3657" t="b">
        <v>0</v>
      </c>
      <c r="N3657" t="inlineStr">
        <is>
          <t>ref</t>
        </is>
      </c>
      <c r="O3657" t="n">
        <v>5</v>
      </c>
      <c r="P3657" t="n">
        <v>1.144e-05</v>
      </c>
      <c r="Q3657" t="n">
        <v>-90</v>
      </c>
      <c r="R3657" t="n">
        <v>0.2188</v>
      </c>
      <c r="S3657">
        <f>IMAGE("https://mitra.stanford.edu/kundaje/oak/projects/neuro-variants/variant_position/credible/roussos_2024/variant_figures/roussos_2024.childhood.Astrocyte/rs112393694_count_position.png",4,220,900)</f>
        <v/>
      </c>
      <c r="T3657">
        <f>IMAGE("https://mitra.stanford.edu/kundaje/oak/projects/neuro-variants/variant_position/credible/roussos_2024/variant_figures/roussos_2024.childhood.Astrocyte/rs112393694_profile_position.png",4,220,900)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-0.1144127959999999</v>
      </c>
      <c r="G3658" t="n">
        <v>0.0605463220393258</v>
      </c>
      <c r="H3658" t="n">
        <v>0.0203720617006315</v>
      </c>
      <c r="I3658" t="n">
        <v>0.1197563624506991</v>
      </c>
      <c r="J3658" t="n">
        <v>0.0237640539488447</v>
      </c>
      <c r="K3658" t="n">
        <v>0.5620491138744111</v>
      </c>
      <c r="L3658" t="b">
        <v>0</v>
      </c>
      <c r="M3658" t="b">
        <v>0</v>
      </c>
      <c r="N3658" t="inlineStr">
        <is>
          <t>ref</t>
        </is>
      </c>
      <c r="O3658" t="n">
        <v>75</v>
      </c>
      <c r="P3658" t="n">
        <v>0.0523</v>
      </c>
      <c r="Q3658" t="n">
        <v>-70</v>
      </c>
      <c r="R3658" t="n">
        <v>0.05408</v>
      </c>
      <c r="S3658">
        <f>IMAGE("https://mitra.stanford.edu/kundaje/oak/projects/neuro-variants/variant_position/credible/roussos_2024/variant_figures/roussos_2024.childhood.Astrocyte/rs79231966_count_position.png",4,220,900)</f>
        <v/>
      </c>
      <c r="T3658">
        <f>IMAGE("https://mitra.stanford.edu/kundaje/oak/projects/neuro-variants/variant_position/credible/roussos_2024/variant_figures/roussos_2024.childhood.Astrocyte/rs79231966_profile_position.png",4,220,900)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0.0291566945999999</v>
      </c>
      <c r="G3659" t="n">
        <v>0.2858146405199124</v>
      </c>
      <c r="H3659" t="n">
        <v>0.009171787492833299</v>
      </c>
      <c r="I3659" t="n">
        <v>0.7913151111143756</v>
      </c>
      <c r="J3659" t="n">
        <v>0.0125445566470502</v>
      </c>
      <c r="K3659" t="n">
        <v>0.6629040379322706</v>
      </c>
      <c r="L3659" t="b">
        <v>0</v>
      </c>
      <c r="M3659" t="b">
        <v>0</v>
      </c>
      <c r="N3659" t="inlineStr">
        <is>
          <t>alt</t>
        </is>
      </c>
      <c r="O3659" t="n">
        <v>-30</v>
      </c>
      <c r="P3659" t="n">
        <v>0.005035</v>
      </c>
      <c r="Q3659" t="n">
        <v>-45</v>
      </c>
      <c r="R3659" t="n">
        <v>0.01453</v>
      </c>
      <c r="S3659">
        <f>IMAGE("https://mitra.stanford.edu/kundaje/oak/projects/neuro-variants/variant_position/credible/roussos_2024/variant_figures/roussos_2024.childhood.Astrocyte/rs11972718_count_position.png",4,220,900)</f>
        <v/>
      </c>
      <c r="T3659">
        <f>IMAGE("https://mitra.stanford.edu/kundaje/oak/projects/neuro-variants/variant_position/credible/roussos_2024/variant_figures/roussos_2024.childhood.Astrocyte/rs11972718_profile_position.png",4,220,900)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0.0689752216</v>
      </c>
      <c r="G3660" t="n">
        <v>0.1654356491223868</v>
      </c>
      <c r="H3660" t="n">
        <v>0.0144106594653975</v>
      </c>
      <c r="I3660" t="n">
        <v>0.3425866142950646</v>
      </c>
      <c r="J3660" t="n">
        <v>0.0313518505797134</v>
      </c>
      <c r="K3660" t="n">
        <v>0.5473118719628871</v>
      </c>
      <c r="L3660" t="b">
        <v>0</v>
      </c>
      <c r="M3660" t="b">
        <v>0</v>
      </c>
      <c r="N3660" t="inlineStr">
        <is>
          <t>alt</t>
        </is>
      </c>
      <c r="O3660" t="n">
        <v>90</v>
      </c>
      <c r="P3660" t="n">
        <v>0.00341</v>
      </c>
      <c r="Q3660" t="n">
        <v>30</v>
      </c>
      <c r="R3660" t="n">
        <v>0.02441</v>
      </c>
      <c r="S3660">
        <f>IMAGE("https://mitra.stanford.edu/kundaje/oak/projects/neuro-variants/variant_position/credible/roussos_2024/variant_figures/roussos_2024.childhood.Astrocyte/rs2040765_count_position.png",4,220,900)</f>
        <v/>
      </c>
      <c r="T3660">
        <f>IMAGE("https://mitra.stanford.edu/kundaje/oak/projects/neuro-variants/variant_position/credible/roussos_2024/variant_figures/roussos_2024.childhood.Astrocyte/rs2040765_profile_position.png",4,220,900)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0.0010972319999999</v>
      </c>
      <c r="G3661" t="n">
        <v>0.2654437081422962</v>
      </c>
      <c r="H3661" t="n">
        <v>0.0144778531892082</v>
      </c>
      <c r="I3661" t="n">
        <v>0.3292944276900751</v>
      </c>
      <c r="J3661" t="n">
        <v>0.026345477166388</v>
      </c>
      <c r="K3661" t="n">
        <v>0.5684747812390751</v>
      </c>
      <c r="L3661" t="b">
        <v>0</v>
      </c>
      <c r="M3661" t="b">
        <v>0</v>
      </c>
      <c r="N3661" t="inlineStr">
        <is>
          <t>alt</t>
        </is>
      </c>
      <c r="O3661" t="n">
        <v>100</v>
      </c>
      <c r="P3661" t="n">
        <v>0.007860000000000001</v>
      </c>
      <c r="Q3661" t="n">
        <v>-25</v>
      </c>
      <c r="R3661" t="n">
        <v>0.00537</v>
      </c>
      <c r="S3661">
        <f>IMAGE("https://mitra.stanford.edu/kundaje/oak/projects/neuro-variants/variant_position/credible/roussos_2024/variant_figures/roussos_2024.childhood.Astrocyte/rs2040766_count_position.png",4,220,900)</f>
        <v/>
      </c>
      <c r="T3661">
        <f>IMAGE("https://mitra.stanford.edu/kundaje/oak/projects/neuro-variants/variant_position/credible/roussos_2024/variant_figures/roussos_2024.childhood.Astrocyte/rs2040766_profile_position.png",4,220,900)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0.0264949777</v>
      </c>
      <c r="G3662" t="n">
        <v>0.4714220464342531</v>
      </c>
      <c r="H3662" t="n">
        <v>0.0107833438237609</v>
      </c>
      <c r="I3662" t="n">
        <v>0.6282966864973588</v>
      </c>
      <c r="J3662" t="n">
        <v>0.0277354155694472</v>
      </c>
      <c r="K3662" t="n">
        <v>0.5564709375591244</v>
      </c>
      <c r="L3662" t="b">
        <v>0</v>
      </c>
      <c r="M3662" t="b">
        <v>0</v>
      </c>
      <c r="N3662" t="inlineStr">
        <is>
          <t>alt</t>
        </is>
      </c>
      <c r="O3662" t="n">
        <v>85</v>
      </c>
      <c r="P3662" t="n">
        <v>0.00409</v>
      </c>
      <c r="Q3662" t="n">
        <v>0</v>
      </c>
      <c r="R3662" t="n">
        <v>0</v>
      </c>
      <c r="S3662">
        <f>IMAGE("https://mitra.stanford.edu/kundaje/oak/projects/neuro-variants/variant_position/credible/roussos_2024/variant_figures/roussos_2024.childhood.Astrocyte/rs2040767_count_position.png",4,220,900)</f>
        <v/>
      </c>
      <c r="T3662">
        <f>IMAGE("https://mitra.stanford.edu/kundaje/oak/projects/neuro-variants/variant_position/credible/roussos_2024/variant_figures/roussos_2024.childhood.Astrocyte/rs2040767_profile_position.png",4,220,900)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-0.002974229</v>
      </c>
      <c r="G3663" t="n">
        <v>0.6211647600714427</v>
      </c>
      <c r="H3663" t="n">
        <v>0.0100531399523292</v>
      </c>
      <c r="I3663" t="n">
        <v>0.7128651360515607</v>
      </c>
      <c r="J3663" t="n">
        <v>0.0823116789936876</v>
      </c>
      <c r="K3663" t="n">
        <v>0.3669571146701287</v>
      </c>
      <c r="L3663" t="b">
        <v>0</v>
      </c>
      <c r="M3663" t="b">
        <v>0</v>
      </c>
      <c r="N3663" t="inlineStr">
        <is>
          <t>ref</t>
        </is>
      </c>
      <c r="O3663" t="n">
        <v>-25</v>
      </c>
      <c r="P3663" t="n">
        <v>0.000867</v>
      </c>
      <c r="Q3663" t="n">
        <v>-60</v>
      </c>
      <c r="R3663" t="n">
        <v>0.0984</v>
      </c>
      <c r="S3663">
        <f>IMAGE("https://mitra.stanford.edu/kundaje/oak/projects/neuro-variants/variant_position/credible/roussos_2024/variant_figures/roussos_2024.childhood.Astrocyte/rs1557841_count_position.png",4,220,900)</f>
        <v/>
      </c>
      <c r="T3663">
        <f>IMAGE("https://mitra.stanford.edu/kundaje/oak/projects/neuro-variants/variant_position/credible/roussos_2024/variant_figures/roussos_2024.childhood.Astrocyte/rs1557841_profile_position.png",4,220,900)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0.0334782658</v>
      </c>
      <c r="G3664" t="n">
        <v>0.3406121670534129</v>
      </c>
      <c r="H3664" t="n">
        <v>0.0219422773407802</v>
      </c>
      <c r="I3664" t="n">
        <v>0.09205111225799691</v>
      </c>
      <c r="J3664" t="n">
        <v>0.0060742063764663</v>
      </c>
      <c r="K3664" t="n">
        <v>0.7481480776630822</v>
      </c>
      <c r="L3664" t="b">
        <v>0</v>
      </c>
      <c r="M3664" t="b">
        <v>0</v>
      </c>
      <c r="N3664" t="inlineStr">
        <is>
          <t>alt</t>
        </is>
      </c>
      <c r="O3664" t="n">
        <v>-40</v>
      </c>
      <c r="P3664" t="n">
        <v>0.009429999999999999</v>
      </c>
      <c r="Q3664" t="n">
        <v>-25</v>
      </c>
      <c r="R3664" t="n">
        <v>0.04053</v>
      </c>
      <c r="S3664">
        <f>IMAGE("https://mitra.stanford.edu/kundaje/oak/projects/neuro-variants/variant_position/credible/roussos_2024/variant_figures/roussos_2024.childhood.Astrocyte/rs17464820_count_position.png",4,220,900)</f>
        <v/>
      </c>
      <c r="T3664">
        <f>IMAGE("https://mitra.stanford.edu/kundaje/oak/projects/neuro-variants/variant_position/credible/roussos_2024/variant_figures/roussos_2024.childhood.Astrocyte/rs17464820_profile_position.png",4,220,900)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0.0687419762</v>
      </c>
      <c r="G3665" t="n">
        <v>0.1326941179666426</v>
      </c>
      <c r="H3665" t="n">
        <v>0.0215632184026678</v>
      </c>
      <c r="I3665" t="n">
        <v>0.1010914497949628</v>
      </c>
      <c r="J3665" t="n">
        <v>0.0468335203376763</v>
      </c>
      <c r="K3665" t="n">
        <v>0.4559773789982803</v>
      </c>
      <c r="L3665" t="b">
        <v>0</v>
      </c>
      <c r="M3665" t="b">
        <v>0</v>
      </c>
      <c r="N3665" t="inlineStr">
        <is>
          <t>alt</t>
        </is>
      </c>
      <c r="O3665" t="n">
        <v>-25</v>
      </c>
      <c r="P3665" t="n">
        <v>0.002579</v>
      </c>
      <c r="Q3665" t="n">
        <v>-55</v>
      </c>
      <c r="R3665" t="n">
        <v>0.05945</v>
      </c>
      <c r="S3665">
        <f>IMAGE("https://mitra.stanford.edu/kundaje/oak/projects/neuro-variants/variant_position/credible/roussos_2024/variant_figures/roussos_2024.childhood.Astrocyte/rs9639377_count_position.png",4,220,900)</f>
        <v/>
      </c>
      <c r="T3665">
        <f>IMAGE("https://mitra.stanford.edu/kundaje/oak/projects/neuro-variants/variant_position/credible/roussos_2024/variant_figures/roussos_2024.childhood.Astrocyte/rs9639377_profile_position.png",4,220,900)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0.054166305</v>
      </c>
      <c r="G3666" t="n">
        <v>0.189571760149229</v>
      </c>
      <c r="H3666" t="n">
        <v>0.0118413232422819</v>
      </c>
      <c r="I3666" t="n">
        <v>0.5264811197611692</v>
      </c>
      <c r="J3666" t="n">
        <v>0.081552975658904</v>
      </c>
      <c r="K3666" t="n">
        <v>0.3663072791949065</v>
      </c>
      <c r="L3666" t="b">
        <v>0</v>
      </c>
      <c r="M3666" t="b">
        <v>0</v>
      </c>
      <c r="N3666" t="inlineStr">
        <is>
          <t>alt</t>
        </is>
      </c>
      <c r="O3666" t="n">
        <v>-100</v>
      </c>
      <c r="P3666" t="n">
        <v>0.0185</v>
      </c>
      <c r="Q3666" t="n">
        <v>-80</v>
      </c>
      <c r="R3666" t="n">
        <v>0.1279</v>
      </c>
      <c r="S3666">
        <f>IMAGE("https://mitra.stanford.edu/kundaje/oak/projects/neuro-variants/variant_position/credible/roussos_2024/variant_figures/roussos_2024.childhood.Astrocyte/rs7796796_count_position.png",4,220,900)</f>
        <v/>
      </c>
      <c r="T3666">
        <f>IMAGE("https://mitra.stanford.edu/kundaje/oak/projects/neuro-variants/variant_position/credible/roussos_2024/variant_figures/roussos_2024.childhood.Astrocyte/rs7796796_profile_position.png",4,220,900)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-0.0854171084</v>
      </c>
      <c r="G3667" t="n">
        <v>0.1188669809928138</v>
      </c>
      <c r="H3667" t="n">
        <v>0.0234027911308425</v>
      </c>
      <c r="I3667" t="n">
        <v>0.0744399971658247</v>
      </c>
      <c r="J3667" t="n">
        <v>0.0116545686305938</v>
      </c>
      <c r="K3667" t="n">
        <v>0.689212390706429</v>
      </c>
      <c r="L3667" t="b">
        <v>0</v>
      </c>
      <c r="M3667" t="b">
        <v>0</v>
      </c>
      <c r="N3667" t="inlineStr">
        <is>
          <t>ref</t>
        </is>
      </c>
      <c r="O3667" t="n">
        <v>-95</v>
      </c>
      <c r="P3667" t="n">
        <v>0.02028</v>
      </c>
      <c r="Q3667" t="n">
        <v>-25</v>
      </c>
      <c r="R3667" t="n">
        <v>0.007324</v>
      </c>
      <c r="S3667">
        <f>IMAGE("https://mitra.stanford.edu/kundaje/oak/projects/neuro-variants/variant_position/credible/roussos_2024/variant_figures/roussos_2024.childhood.Astrocyte/rs6948810_count_position.png",4,220,900)</f>
        <v/>
      </c>
      <c r="T3667">
        <f>IMAGE("https://mitra.stanford.edu/kundaje/oak/projects/neuro-variants/variant_position/credible/roussos_2024/variant_figures/roussos_2024.childhood.Astrocyte/rs6948810_profile_position.png",4,220,900)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-0.245209668</v>
      </c>
      <c r="G3668" t="n">
        <v>0.0123821906093794</v>
      </c>
      <c r="H3668" t="n">
        <v>0.0351979304582746</v>
      </c>
      <c r="I3668" t="n">
        <v>0.0165215233617092</v>
      </c>
      <c r="J3668" t="n">
        <v>0.957475212383504</v>
      </c>
      <c r="K3668" t="n">
        <v>0.0002029044642374</v>
      </c>
      <c r="L3668" t="b">
        <v>1</v>
      </c>
      <c r="M3668" t="b">
        <v>0</v>
      </c>
      <c r="N3668" t="inlineStr">
        <is>
          <t>ref</t>
        </is>
      </c>
      <c r="O3668" t="n">
        <v>-25</v>
      </c>
      <c r="P3668" t="n">
        <v>0.009520000000000001</v>
      </c>
      <c r="Q3668" t="n">
        <v>-25</v>
      </c>
      <c r="R3668" t="n">
        <v>0.1328</v>
      </c>
      <c r="S3668">
        <f>IMAGE("https://mitra.stanford.edu/kundaje/oak/projects/neuro-variants/variant_position/credible/roussos_2024/variant_figures/roussos_2024.childhood.Astrocyte/rs56359038_count_position.png",4,220,900)</f>
        <v/>
      </c>
      <c r="T3668">
        <f>IMAGE("https://mitra.stanford.edu/kundaje/oak/projects/neuro-variants/variant_position/credible/roussos_2024/variant_figures/roussos_2024.childhood.Astrocyte/rs56359038_profile_position.png",4,220,900)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-0.0142163683999999</v>
      </c>
      <c r="G3669" t="n">
        <v>0.6458760409187577</v>
      </c>
      <c r="H3669" t="n">
        <v>0.0190990994233936</v>
      </c>
      <c r="I3669" t="n">
        <v>0.1484476525101849</v>
      </c>
      <c r="J3669" t="n">
        <v>0.0078961629761931</v>
      </c>
      <c r="K3669" t="n">
        <v>0.7212932770007069</v>
      </c>
      <c r="L3669" t="b">
        <v>0</v>
      </c>
      <c r="M3669" t="b">
        <v>0</v>
      </c>
      <c r="N3669" t="inlineStr">
        <is>
          <t>ref</t>
        </is>
      </c>
      <c r="O3669" t="n">
        <v>100</v>
      </c>
      <c r="P3669" t="n">
        <v>0.0102</v>
      </c>
      <c r="Q3669" t="n">
        <v>-100</v>
      </c>
      <c r="R3669" t="n">
        <v>0.08203000000000001</v>
      </c>
      <c r="S3669">
        <f>IMAGE("https://mitra.stanford.edu/kundaje/oak/projects/neuro-variants/variant_position/credible/roussos_2024/variant_figures/roussos_2024.childhood.Astrocyte/rs6966655_count_position.png",4,220,900)</f>
        <v/>
      </c>
      <c r="T3669">
        <f>IMAGE("https://mitra.stanford.edu/kundaje/oak/projects/neuro-variants/variant_position/credible/roussos_2024/variant_figures/roussos_2024.childhood.Astrocyte/rs6966655_profile_position.png",4,220,900)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-0.01647021016</v>
      </c>
      <c r="G3670" t="n">
        <v>0.5873824707163533</v>
      </c>
      <c r="H3670" t="n">
        <v>0.0283337137741111</v>
      </c>
      <c r="I3670" t="n">
        <v>0.0376232375245731</v>
      </c>
      <c r="J3670" t="n">
        <v>0.0013891751200261</v>
      </c>
      <c r="K3670" t="n">
        <v>0.8901825089452695</v>
      </c>
      <c r="L3670" t="b">
        <v>0</v>
      </c>
      <c r="M3670" t="b">
        <v>0</v>
      </c>
      <c r="N3670" t="inlineStr">
        <is>
          <t>ref</t>
        </is>
      </c>
      <c r="O3670" t="n">
        <v>-95</v>
      </c>
      <c r="P3670" t="n">
        <v>0.01651</v>
      </c>
      <c r="Q3670" t="n">
        <v>-10</v>
      </c>
      <c r="R3670" t="n">
        <v>0.0315</v>
      </c>
      <c r="S3670">
        <f>IMAGE("https://mitra.stanford.edu/kundaje/oak/projects/neuro-variants/variant_position/credible/roussos_2024/variant_figures/roussos_2024.childhood.Astrocyte/rs2106747_count_position.png",4,220,900)</f>
        <v/>
      </c>
      <c r="T3670">
        <f>IMAGE("https://mitra.stanford.edu/kundaje/oak/projects/neuro-variants/variant_position/credible/roussos_2024/variant_figures/roussos_2024.childhood.Astrocyte/rs2106747_profile_position.png",4,220,900)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-0.0268142885999999</v>
      </c>
      <c r="G3671" t="n">
        <v>0.4329330823668088</v>
      </c>
      <c r="H3671" t="n">
        <v>0.0127155502394129</v>
      </c>
      <c r="I3671" t="n">
        <v>0.4428910659178298</v>
      </c>
      <c r="J3671" t="n">
        <v>0.008388480532466099</v>
      </c>
      <c r="K3671" t="n">
        <v>0.7386118404683636</v>
      </c>
      <c r="L3671" t="b">
        <v>0</v>
      </c>
      <c r="M3671" t="b">
        <v>0</v>
      </c>
      <c r="N3671" t="inlineStr">
        <is>
          <t>ref</t>
        </is>
      </c>
      <c r="O3671" t="n">
        <v>45</v>
      </c>
      <c r="P3671" t="n">
        <v>0.00589</v>
      </c>
      <c r="Q3671" t="n">
        <v>45</v>
      </c>
      <c r="R3671" t="n">
        <v>0.0852</v>
      </c>
      <c r="S3671">
        <f>IMAGE("https://mitra.stanford.edu/kundaje/oak/projects/neuro-variants/variant_position/credible/roussos_2024/variant_figures/roussos_2024.childhood.Astrocyte/rs9769098_count_position.png",4,220,900)</f>
        <v/>
      </c>
      <c r="T3671">
        <f>IMAGE("https://mitra.stanford.edu/kundaje/oak/projects/neuro-variants/variant_position/credible/roussos_2024/variant_figures/roussos_2024.childhood.Astrocyte/rs9769098_profile_position.png",4,220,900)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0.0144965758</v>
      </c>
      <c r="G3672" t="n">
        <v>0.625148875459553</v>
      </c>
      <c r="H3672" t="n">
        <v>0.0162081740786857</v>
      </c>
      <c r="I3672" t="n">
        <v>0.2387599739404855</v>
      </c>
      <c r="J3672" t="n">
        <v>0.0055605168952698</v>
      </c>
      <c r="K3672" t="n">
        <v>0.7588504221493121</v>
      </c>
      <c r="L3672" t="b">
        <v>0</v>
      </c>
      <c r="M3672" t="b">
        <v>0</v>
      </c>
      <c r="N3672" t="inlineStr">
        <is>
          <t>alt</t>
        </is>
      </c>
      <c r="O3672" t="n">
        <v>-90</v>
      </c>
      <c r="P3672" t="n">
        <v>0.00889</v>
      </c>
      <c r="Q3672" t="n">
        <v>-100</v>
      </c>
      <c r="R3672" t="n">
        <v>0.12006</v>
      </c>
      <c r="S3672">
        <f>IMAGE("https://mitra.stanford.edu/kundaje/oak/projects/neuro-variants/variant_position/credible/roussos_2024/variant_figures/roussos_2024.childhood.Astrocyte/rs13244145_count_position.png",4,220,900)</f>
        <v/>
      </c>
      <c r="T3672">
        <f>IMAGE("https://mitra.stanford.edu/kundaje/oak/projects/neuro-variants/variant_position/credible/roussos_2024/variant_figures/roussos_2024.childhood.Astrocyte/rs13244145_profile_position.png",4,220,900)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-0.008777567199999999</v>
      </c>
      <c r="G3673" t="n">
        <v>0.5278126651813627</v>
      </c>
      <c r="H3673" t="n">
        <v>0.0114615958924036</v>
      </c>
      <c r="I3673" t="n">
        <v>0.5617286134056686</v>
      </c>
      <c r="J3673" t="n">
        <v>0.1494622671032645</v>
      </c>
      <c r="K3673" t="n">
        <v>0.2559563674846383</v>
      </c>
      <c r="L3673" t="b">
        <v>0</v>
      </c>
      <c r="M3673" t="b">
        <v>0</v>
      </c>
      <c r="N3673" t="inlineStr">
        <is>
          <t>ref</t>
        </is>
      </c>
      <c r="O3673" t="n">
        <v>90</v>
      </c>
      <c r="P3673" t="n">
        <v>0.00582</v>
      </c>
      <c r="Q3673" t="n">
        <v>-100</v>
      </c>
      <c r="R3673" t="n">
        <v>0.2189</v>
      </c>
      <c r="S3673">
        <f>IMAGE("https://mitra.stanford.edu/kundaje/oak/projects/neuro-variants/variant_position/credible/roussos_2024/variant_figures/roussos_2024.childhood.Astrocyte/rs146616002_count_position.png",4,220,900)</f>
        <v/>
      </c>
      <c r="T3673">
        <f>IMAGE("https://mitra.stanford.edu/kundaje/oak/projects/neuro-variants/variant_position/credible/roussos_2024/variant_figures/roussos_2024.childhood.Astrocyte/rs146616002_profile_position.png",4,220,900)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-0.07538634280000001</v>
      </c>
      <c r="G3674" t="n">
        <v>0.12350848381048</v>
      </c>
      <c r="H3674" t="n">
        <v>0.0179326631490116</v>
      </c>
      <c r="I3674" t="n">
        <v>0.1818441774381966</v>
      </c>
      <c r="J3674" t="n">
        <v>0.1747406745895445</v>
      </c>
      <c r="K3674" t="n">
        <v>0.229682849695793</v>
      </c>
      <c r="L3674" t="b">
        <v>0</v>
      </c>
      <c r="M3674" t="b">
        <v>0</v>
      </c>
      <c r="N3674" t="inlineStr">
        <is>
          <t>ref</t>
        </is>
      </c>
      <c r="O3674" t="n">
        <v>80</v>
      </c>
      <c r="P3674" t="n">
        <v>0.01923</v>
      </c>
      <c r="Q3674" t="n">
        <v>50</v>
      </c>
      <c r="R3674" t="n">
        <v>0.11456</v>
      </c>
      <c r="S3674">
        <f>IMAGE("https://mitra.stanford.edu/kundaje/oak/projects/neuro-variants/variant_position/credible/roussos_2024/variant_figures/roussos_2024.childhood.Astrocyte/rs17150022_count_position.png",4,220,900)</f>
        <v/>
      </c>
      <c r="T3674">
        <f>IMAGE("https://mitra.stanford.edu/kundaje/oak/projects/neuro-variants/variant_position/credible/roussos_2024/variant_figures/roussos_2024.childhood.Astrocyte/rs17150022_profile_position.png",4,220,900)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-0.0319814001999999</v>
      </c>
      <c r="G3675" t="n">
        <v>0.3698935705997989</v>
      </c>
      <c r="H3675" t="n">
        <v>0.0109208507021094</v>
      </c>
      <c r="I3675" t="n">
        <v>0.6130794786748065</v>
      </c>
      <c r="J3675" t="n">
        <v>0.0138345049727889</v>
      </c>
      <c r="K3675" t="n">
        <v>0.6488789253212922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0.01208</v>
      </c>
      <c r="Q3675" t="n">
        <v>-85</v>
      </c>
      <c r="R3675" t="n">
        <v>0.09710000000000001</v>
      </c>
      <c r="S3675">
        <f>IMAGE("https://mitra.stanford.edu/kundaje/oak/projects/neuro-variants/variant_position/credible/roussos_2024/variant_figures/roussos_2024.childhood.Astrocyte/rs80195870_count_position.png",4,220,900)</f>
        <v/>
      </c>
      <c r="T3675">
        <f>IMAGE("https://mitra.stanford.edu/kundaje/oak/projects/neuro-variants/variant_position/credible/roussos_2024/variant_figures/roussos_2024.childhood.Astrocyte/rs80195870_profile_position.png",4,220,900)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0.0195667886</v>
      </c>
      <c r="G3676" t="n">
        <v>0.5187341510884793</v>
      </c>
      <c r="H3676" t="n">
        <v>0.0403773590315551</v>
      </c>
      <c r="I3676" t="n">
        <v>0.009335776953124099</v>
      </c>
      <c r="J3676" t="n">
        <v>0.0334417195240166</v>
      </c>
      <c r="K3676" t="n">
        <v>0.5135274517612998</v>
      </c>
      <c r="L3676" t="b">
        <v>1</v>
      </c>
      <c r="M3676" t="b">
        <v>0</v>
      </c>
      <c r="N3676" t="inlineStr">
        <is>
          <t>alt</t>
        </is>
      </c>
      <c r="O3676" t="n">
        <v>-30</v>
      </c>
      <c r="P3676" t="n">
        <v>0.0007935</v>
      </c>
      <c r="Q3676" t="n">
        <v>0</v>
      </c>
      <c r="R3676" t="n">
        <v>0</v>
      </c>
      <c r="S3676">
        <f>IMAGE("https://mitra.stanford.edu/kundaje/oak/projects/neuro-variants/variant_position/credible/roussos_2024/variant_figures/roussos_2024.childhood.Astrocyte/rs114829110_count_position.png",4,220,900)</f>
        <v/>
      </c>
      <c r="T3676">
        <f>IMAGE("https://mitra.stanford.edu/kundaje/oak/projects/neuro-variants/variant_position/credible/roussos_2024/variant_figures/roussos_2024.childhood.Astrocyte/rs114829110_profile_position.png",4,220,900)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0.0155925752</v>
      </c>
      <c r="G3677" t="n">
        <v>0.1440093846388005</v>
      </c>
      <c r="H3677" t="n">
        <v>0.012366561266402</v>
      </c>
      <c r="I3677" t="n">
        <v>0.4747096892528286</v>
      </c>
      <c r="J3677" t="n">
        <v>0.2550952958866677</v>
      </c>
      <c r="K3677" t="n">
        <v>0.160566571774322</v>
      </c>
      <c r="L3677" t="b">
        <v>0</v>
      </c>
      <c r="M3677" t="b">
        <v>0</v>
      </c>
      <c r="N3677" t="inlineStr">
        <is>
          <t>alt</t>
        </is>
      </c>
      <c r="O3677" t="n">
        <v>-15</v>
      </c>
      <c r="P3677" t="n">
        <v>0.002472</v>
      </c>
      <c r="Q3677" t="n">
        <v>100</v>
      </c>
      <c r="R3677" t="n">
        <v>0.1177</v>
      </c>
      <c r="S3677">
        <f>IMAGE("https://mitra.stanford.edu/kundaje/oak/projects/neuro-variants/variant_position/credible/roussos_2024/variant_figures/roussos_2024.childhood.Astrocyte/rs11509873_count_position.png",4,220,900)</f>
        <v/>
      </c>
      <c r="T3677">
        <f>IMAGE("https://mitra.stanford.edu/kundaje/oak/projects/neuro-variants/variant_position/credible/roussos_2024/variant_figures/roussos_2024.childhood.Astrocyte/rs11509873_profile_position.png",4,220,900)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0.0156106042</v>
      </c>
      <c r="G3678" t="n">
        <v>0.4117197394110572</v>
      </c>
      <c r="H3678" t="n">
        <v>0.0075269787655994</v>
      </c>
      <c r="I3678" t="n">
        <v>0.9229649596805322</v>
      </c>
      <c r="J3678" t="n">
        <v>0.5226679795134833</v>
      </c>
      <c r="K3678" t="n">
        <v>0.0497843121374383</v>
      </c>
      <c r="L3678" t="b">
        <v>0</v>
      </c>
      <c r="M3678" t="b">
        <v>0</v>
      </c>
      <c r="N3678" t="inlineStr">
        <is>
          <t>alt</t>
        </is>
      </c>
      <c r="O3678" t="n">
        <v>-55</v>
      </c>
      <c r="P3678" t="n">
        <v>0.2053</v>
      </c>
      <c r="Q3678" t="n">
        <v>-90</v>
      </c>
      <c r="R3678" t="n">
        <v>0.7944</v>
      </c>
      <c r="S3678">
        <f>IMAGE("https://mitra.stanford.edu/kundaje/oak/projects/neuro-variants/variant_position/credible/roussos_2024/variant_figures/roussos_2024.childhood.Astrocyte/rs2391000_count_position.png",4,220,900)</f>
        <v/>
      </c>
      <c r="T3678">
        <f>IMAGE("https://mitra.stanford.edu/kundaje/oak/projects/neuro-variants/variant_position/credible/roussos_2024/variant_figures/roussos_2024.childhood.Astrocyte/rs2391000_profile_position.png",4,220,900)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-0.06324438</v>
      </c>
      <c r="G3679" t="n">
        <v>0.1561444610879204</v>
      </c>
      <c r="H3679" t="n">
        <v>0.0126782031343319</v>
      </c>
      <c r="I3679" t="n">
        <v>0.4587053806566595</v>
      </c>
      <c r="J3679" t="n">
        <v>0.0361254226679794</v>
      </c>
      <c r="K3679" t="n">
        <v>0.5012419637426624</v>
      </c>
      <c r="L3679" t="b">
        <v>0</v>
      </c>
      <c r="M3679" t="b">
        <v>0</v>
      </c>
      <c r="N3679" t="inlineStr">
        <is>
          <t>ref</t>
        </is>
      </c>
      <c r="O3679" t="n">
        <v>60</v>
      </c>
      <c r="P3679" t="n">
        <v>0.00582</v>
      </c>
      <c r="Q3679" t="n">
        <v>-100</v>
      </c>
      <c r="R3679" t="n">
        <v>0.02905</v>
      </c>
      <c r="S3679">
        <f>IMAGE("https://mitra.stanford.edu/kundaje/oak/projects/neuro-variants/variant_position/credible/roussos_2024/variant_figures/roussos_2024.childhood.Astrocyte/rs113041465_count_position.png",4,220,900)</f>
        <v/>
      </c>
      <c r="T3679">
        <f>IMAGE("https://mitra.stanford.edu/kundaje/oak/projects/neuro-variants/variant_position/credible/roussos_2024/variant_figures/roussos_2024.childhood.Astrocyte/rs113041465_profile_position.png",4,220,900)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-0.1024862019999999</v>
      </c>
      <c r="G3680" t="n">
        <v>0.06825955864892171</v>
      </c>
      <c r="H3680" t="n">
        <v>0.0206315597468321</v>
      </c>
      <c r="I3680" t="n">
        <v>0.1154852861816122</v>
      </c>
      <c r="J3680" t="n">
        <v>0.000490027707174</v>
      </c>
      <c r="K3680" t="n">
        <v>0.9430627467745196</v>
      </c>
      <c r="L3680" t="b">
        <v>0</v>
      </c>
      <c r="M3680" t="b">
        <v>0</v>
      </c>
      <c r="N3680" t="inlineStr">
        <is>
          <t>ref</t>
        </is>
      </c>
      <c r="O3680" t="n">
        <v>80</v>
      </c>
      <c r="P3680" t="n">
        <v>0.005802</v>
      </c>
      <c r="Q3680" t="n">
        <v>85</v>
      </c>
      <c r="R3680" t="n">
        <v>0.1294</v>
      </c>
      <c r="S3680">
        <f>IMAGE("https://mitra.stanford.edu/kundaje/oak/projects/neuro-variants/variant_position/credible/roussos_2024/variant_figures/roussos_2024.childhood.Astrocyte/rs150936052_count_position.png",4,220,900)</f>
        <v/>
      </c>
      <c r="T3680">
        <f>IMAGE("https://mitra.stanford.edu/kundaje/oak/projects/neuro-variants/variant_position/credible/roussos_2024/variant_figures/roussos_2024.childhood.Astrocyte/rs150936052_profile_position.png",4,220,900)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-0.0503913626</v>
      </c>
      <c r="G3681" t="n">
        <v>0.2182036366645012</v>
      </c>
      <c r="H3681" t="n">
        <v>0.0120025904073147</v>
      </c>
      <c r="I3681" t="n">
        <v>0.5169003620270592</v>
      </c>
      <c r="J3681" t="n">
        <v>0.0407196232434948</v>
      </c>
      <c r="K3681" t="n">
        <v>0.4814854114809805</v>
      </c>
      <c r="L3681" t="b">
        <v>0</v>
      </c>
      <c r="M3681" t="b">
        <v>0</v>
      </c>
      <c r="N3681" t="inlineStr">
        <is>
          <t>ref</t>
        </is>
      </c>
      <c r="O3681" t="n">
        <v>70</v>
      </c>
      <c r="P3681" t="n">
        <v>0.01718</v>
      </c>
      <c r="Q3681" t="n">
        <v>10</v>
      </c>
      <c r="R3681" t="n">
        <v>0.01819</v>
      </c>
      <c r="S3681">
        <f>IMAGE("https://mitra.stanford.edu/kundaje/oak/projects/neuro-variants/variant_position/credible/roussos_2024/variant_figures/roussos_2024.childhood.Astrocyte/rs115354522_count_position.png",4,220,900)</f>
        <v/>
      </c>
      <c r="T3681">
        <f>IMAGE("https://mitra.stanford.edu/kundaje/oak/projects/neuro-variants/variant_position/credible/roussos_2024/variant_figures/roussos_2024.childhood.Astrocyte/rs115354522_profile_position.png",4,220,900)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0.0232418964199999</v>
      </c>
      <c r="G3682" t="n">
        <v>0.4900896082351247</v>
      </c>
      <c r="H3682" t="n">
        <v>0.0131235070076746</v>
      </c>
      <c r="I3682" t="n">
        <v>0.4254600883802955</v>
      </c>
      <c r="J3682" t="n">
        <v>0.0033676047415141</v>
      </c>
      <c r="K3682" t="n">
        <v>0.8188200079530763</v>
      </c>
      <c r="L3682" t="b">
        <v>0</v>
      </c>
      <c r="M3682" t="b">
        <v>0</v>
      </c>
      <c r="N3682" t="inlineStr">
        <is>
          <t>alt</t>
        </is>
      </c>
      <c r="O3682" t="n">
        <v>65</v>
      </c>
      <c r="P3682" t="n">
        <v>0.01026</v>
      </c>
      <c r="Q3682" t="n">
        <v>95</v>
      </c>
      <c r="R3682" t="n">
        <v>0.04443</v>
      </c>
      <c r="S3682">
        <f>IMAGE("https://mitra.stanford.edu/kundaje/oak/projects/neuro-variants/variant_position/credible/roussos_2024/variant_figures/roussos_2024.childhood.Astrocyte/rs79631004_count_position.png",4,220,900)</f>
        <v/>
      </c>
      <c r="T3682">
        <f>IMAGE("https://mitra.stanford.edu/kundaje/oak/projects/neuro-variants/variant_position/credible/roussos_2024/variant_figures/roussos_2024.childhood.Astrocyte/rs79631004_profile_position.png",4,220,900)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0.0051548062051</v>
      </c>
      <c r="G3683" t="n">
        <v>0.8231817089150246</v>
      </c>
      <c r="H3683" t="n">
        <v>0.0268618416662044</v>
      </c>
      <c r="I3683" t="n">
        <v>0.0455769436658281</v>
      </c>
      <c r="J3683" t="n">
        <v>0.0036767343698716</v>
      </c>
      <c r="K3683" t="n">
        <v>0.8207162181151961</v>
      </c>
      <c r="L3683" t="b">
        <v>0</v>
      </c>
      <c r="M3683" t="b">
        <v>0</v>
      </c>
      <c r="N3683" t="inlineStr">
        <is>
          <t>alt</t>
        </is>
      </c>
      <c r="O3683" t="n">
        <v>-80</v>
      </c>
      <c r="P3683" t="n">
        <v>0.01614</v>
      </c>
      <c r="Q3683" t="n">
        <v>-80</v>
      </c>
      <c r="R3683" t="n">
        <v>0.0772</v>
      </c>
      <c r="S3683">
        <f>IMAGE("https://mitra.stanford.edu/kundaje/oak/projects/neuro-variants/variant_position/credible/roussos_2024/variant_figures/roussos_2024.childhood.Astrocyte/rs6976562_count_position.png",4,220,900)</f>
        <v/>
      </c>
      <c r="T3683">
        <f>IMAGE("https://mitra.stanford.edu/kundaje/oak/projects/neuro-variants/variant_position/credible/roussos_2024/variant_figures/roussos_2024.childhood.Astrocyte/rs6976562_profile_position.png",4,220,900)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0.0337724074</v>
      </c>
      <c r="G3684" t="n">
        <v>0.3369339406230424</v>
      </c>
      <c r="H3684" t="n">
        <v>0.0304534099597998</v>
      </c>
      <c r="I3684" t="n">
        <v>0.0282254314516616</v>
      </c>
      <c r="J3684" t="n">
        <v>0.00637722974056</v>
      </c>
      <c r="K3684" t="n">
        <v>0.7687244551209285</v>
      </c>
      <c r="L3684" t="b">
        <v>0</v>
      </c>
      <c r="M3684" t="b">
        <v>0</v>
      </c>
      <c r="N3684" t="inlineStr">
        <is>
          <t>alt</t>
        </is>
      </c>
      <c r="O3684" t="n">
        <v>-40</v>
      </c>
      <c r="P3684" t="n">
        <v>0.02422</v>
      </c>
      <c r="Q3684" t="n">
        <v>75</v>
      </c>
      <c r="R3684" t="n">
        <v>0.0824</v>
      </c>
      <c r="S3684">
        <f>IMAGE("https://mitra.stanford.edu/kundaje/oak/projects/neuro-variants/variant_position/credible/roussos_2024/variant_figures/roussos_2024.childhood.Astrocyte/rs6942815_count_position.png",4,220,900)</f>
        <v/>
      </c>
      <c r="T3684">
        <f>IMAGE("https://mitra.stanford.edu/kundaje/oak/projects/neuro-variants/variant_position/credible/roussos_2024/variant_figures/roussos_2024.childhood.Astrocyte/rs6942815_profile_position.png",4,220,900)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0.0285568332</v>
      </c>
      <c r="G3685" t="n">
        <v>0.3992542427641767</v>
      </c>
      <c r="H3685" t="n">
        <v>0.011196174033888</v>
      </c>
      <c r="I3685" t="n">
        <v>0.5978432468707262</v>
      </c>
      <c r="J3685" t="n">
        <v>0.0319517910436368</v>
      </c>
      <c r="K3685" t="n">
        <v>0.51658473209063</v>
      </c>
      <c r="L3685" t="b">
        <v>0</v>
      </c>
      <c r="M3685" t="b">
        <v>0</v>
      </c>
      <c r="N3685" t="inlineStr">
        <is>
          <t>alt</t>
        </is>
      </c>
      <c r="O3685" t="n">
        <v>-75</v>
      </c>
      <c r="P3685" t="n">
        <v>0.002674</v>
      </c>
      <c r="Q3685" t="n">
        <v>-85</v>
      </c>
      <c r="R3685" t="n">
        <v>0.0998</v>
      </c>
      <c r="S3685">
        <f>IMAGE("https://mitra.stanford.edu/kundaje/oak/projects/neuro-variants/variant_position/credible/roussos_2024/variant_figures/roussos_2024.childhood.Astrocyte/rs10261998_count_position.png",4,220,900)</f>
        <v/>
      </c>
      <c r="T3685">
        <f>IMAGE("https://mitra.stanford.edu/kundaje/oak/projects/neuro-variants/variant_position/credible/roussos_2024/variant_figures/roussos_2024.childhood.Astrocyte/rs10261998_profile_position.png",4,220,900)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0.0202370896</v>
      </c>
      <c r="G3686" t="n">
        <v>0.5204335934411285</v>
      </c>
      <c r="H3686" t="n">
        <v>0.0661602784732203</v>
      </c>
      <c r="I3686" t="n">
        <v>0.0014858967593179</v>
      </c>
      <c r="J3686" t="n">
        <v>0.0132208254142718</v>
      </c>
      <c r="K3686" t="n">
        <v>0.6527392440720228</v>
      </c>
      <c r="L3686" t="b">
        <v>1</v>
      </c>
      <c r="M3686" t="b">
        <v>0</v>
      </c>
      <c r="N3686" t="inlineStr">
        <is>
          <t>alt</t>
        </is>
      </c>
      <c r="O3686" t="n">
        <v>-90</v>
      </c>
      <c r="P3686" t="n">
        <v>0.05835</v>
      </c>
      <c r="Q3686" t="n">
        <v>-100</v>
      </c>
      <c r="R3686" t="n">
        <v>0.08749999999999999</v>
      </c>
      <c r="S3686">
        <f>IMAGE("https://mitra.stanford.edu/kundaje/oak/projects/neuro-variants/variant_position/credible/roussos_2024/variant_figures/roussos_2024.childhood.Astrocyte/rs28799658_count_position.png",4,220,900)</f>
        <v/>
      </c>
      <c r="T3686">
        <f>IMAGE("https://mitra.stanford.edu/kundaje/oak/projects/neuro-variants/variant_position/credible/roussos_2024/variant_figures/roussos_2024.childhood.Astrocyte/rs28799658_profile_position.png",4,220,900)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0.0235700602</v>
      </c>
      <c r="G3687" t="n">
        <v>0.4276658603679735</v>
      </c>
      <c r="H3687" t="n">
        <v>0.016807163655732</v>
      </c>
      <c r="I3687" t="n">
        <v>0.2154459534508528</v>
      </c>
      <c r="J3687" t="n">
        <v>0.240258600291574</v>
      </c>
      <c r="K3687" t="n">
        <v>0.1697588636549957</v>
      </c>
      <c r="L3687" t="b">
        <v>0</v>
      </c>
      <c r="M3687" t="b">
        <v>0</v>
      </c>
      <c r="N3687" t="inlineStr">
        <is>
          <t>alt</t>
        </is>
      </c>
      <c r="O3687" t="n">
        <v>100</v>
      </c>
      <c r="P3687" t="n">
        <v>0.03574</v>
      </c>
      <c r="Q3687" t="n">
        <v>95</v>
      </c>
      <c r="R3687" t="n">
        <v>0.3564</v>
      </c>
      <c r="S3687">
        <f>IMAGE("https://mitra.stanford.edu/kundaje/oak/projects/neuro-variants/variant_position/credible/roussos_2024/variant_figures/roussos_2024.childhood.Astrocyte/rs3923570_count_position.png",4,220,900)</f>
        <v/>
      </c>
      <c r="T3687">
        <f>IMAGE("https://mitra.stanford.edu/kundaje/oak/projects/neuro-variants/variant_position/credible/roussos_2024/variant_figures/roussos_2024.childhood.Astrocyte/rs3923570_profile_position.png",4,220,900)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-0.00489137268</v>
      </c>
      <c r="G3688" t="n">
        <v>0.7542736922588836</v>
      </c>
      <c r="H3688" t="n">
        <v>0.0104488289925361</v>
      </c>
      <c r="I3688" t="n">
        <v>0.6290348558548543</v>
      </c>
      <c r="J3688" t="n">
        <v>0.1275445948112019</v>
      </c>
      <c r="K3688" t="n">
        <v>0.2804428869449757</v>
      </c>
      <c r="L3688" t="b">
        <v>0</v>
      </c>
      <c r="M3688" t="b">
        <v>0</v>
      </c>
      <c r="N3688" t="inlineStr">
        <is>
          <t>ref</t>
        </is>
      </c>
      <c r="O3688" t="n">
        <v>60</v>
      </c>
      <c r="P3688" t="n">
        <v>0.006454</v>
      </c>
      <c r="Q3688" t="n">
        <v>-20</v>
      </c>
      <c r="R3688" t="n">
        <v>0.0191</v>
      </c>
      <c r="S3688">
        <f>IMAGE("https://mitra.stanford.edu/kundaje/oak/projects/neuro-variants/variant_position/credible/roussos_2024/variant_figures/roussos_2024.childhood.Astrocyte/rs6964131_count_position.png",4,220,900)</f>
        <v/>
      </c>
      <c r="T3688">
        <f>IMAGE("https://mitra.stanford.edu/kundaje/oak/projects/neuro-variants/variant_position/credible/roussos_2024/variant_figures/roussos_2024.childhood.Astrocyte/rs6964131_profile_position.png",4,220,900)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-0.0591571036</v>
      </c>
      <c r="G3689" t="n">
        <v>0.1860904461030053</v>
      </c>
      <c r="H3689" t="n">
        <v>0.0131261604338559</v>
      </c>
      <c r="I3689" t="n">
        <v>0.4250450470470703</v>
      </c>
      <c r="J3689" t="n">
        <v>0.1148916519734682</v>
      </c>
      <c r="K3689" t="n">
        <v>0.3107929660597167</v>
      </c>
      <c r="L3689" t="b">
        <v>0</v>
      </c>
      <c r="M3689" t="b">
        <v>0</v>
      </c>
      <c r="N3689" t="inlineStr">
        <is>
          <t>ref</t>
        </is>
      </c>
      <c r="O3689" t="n">
        <v>-50</v>
      </c>
      <c r="P3689" t="n">
        <v>0.013916</v>
      </c>
      <c r="Q3689" t="n">
        <v>100</v>
      </c>
      <c r="R3689" t="n">
        <v>0.0751</v>
      </c>
      <c r="S3689">
        <f>IMAGE("https://mitra.stanford.edu/kundaje/oak/projects/neuro-variants/variant_position/credible/roussos_2024/variant_figures/roussos_2024.childhood.Astrocyte/rs73356099_count_position.png",4,220,900)</f>
        <v/>
      </c>
      <c r="T3689">
        <f>IMAGE("https://mitra.stanford.edu/kundaje/oak/projects/neuro-variants/variant_position/credible/roussos_2024/variant_figures/roussos_2024.childhood.Astrocyte/rs73356099_profile_position.png",4,220,900)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-0.0235888725359999</v>
      </c>
      <c r="G3690" t="n">
        <v>0.465694692407176</v>
      </c>
      <c r="H3690" t="n">
        <v>0.0153555158598153</v>
      </c>
      <c r="I3690" t="n">
        <v>0.2835355525354244</v>
      </c>
      <c r="J3690" t="n">
        <v>0.0003701922709959</v>
      </c>
      <c r="K3690" t="n">
        <v>0.956609974377914</v>
      </c>
      <c r="L3690" t="b">
        <v>0</v>
      </c>
      <c r="M3690" t="b">
        <v>0</v>
      </c>
      <c r="N3690" t="inlineStr">
        <is>
          <t>ref</t>
        </is>
      </c>
      <c r="O3690" t="n">
        <v>-25</v>
      </c>
      <c r="P3690" t="n">
        <v>0.001502</v>
      </c>
      <c r="Q3690" t="n">
        <v>65</v>
      </c>
      <c r="R3690" t="n">
        <v>0.03198</v>
      </c>
      <c r="S3690">
        <f>IMAGE("https://mitra.stanford.edu/kundaje/oak/projects/neuro-variants/variant_position/credible/roussos_2024/variant_figures/roussos_2024.childhood.Astrocyte/rs12534549_count_position.png",4,220,900)</f>
        <v/>
      </c>
      <c r="T3690">
        <f>IMAGE("https://mitra.stanford.edu/kundaje/oak/projects/neuro-variants/variant_position/credible/roussos_2024/variant_figures/roussos_2024.childhood.Astrocyte/rs12534549_profile_position.png",4,220,900)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0.01226062426</v>
      </c>
      <c r="G3691" t="n">
        <v>0.6821644658307089</v>
      </c>
      <c r="H3691" t="n">
        <v>0.0094463129407911</v>
      </c>
      <c r="I3691" t="n">
        <v>0.7779651894910241</v>
      </c>
      <c r="J3691" t="n">
        <v>0.000940364696633</v>
      </c>
      <c r="K3691" t="n">
        <v>0.9050736156284612</v>
      </c>
      <c r="L3691" t="b">
        <v>0</v>
      </c>
      <c r="M3691" t="b">
        <v>0</v>
      </c>
      <c r="N3691" t="inlineStr">
        <is>
          <t>alt</t>
        </is>
      </c>
      <c r="O3691" t="n">
        <v>-5</v>
      </c>
      <c r="P3691" t="n">
        <v>0.0004883</v>
      </c>
      <c r="Q3691" t="n">
        <v>10</v>
      </c>
      <c r="R3691" t="n">
        <v>0.0348</v>
      </c>
      <c r="S3691">
        <f>IMAGE("https://mitra.stanford.edu/kundaje/oak/projects/neuro-variants/variant_position/credible/roussos_2024/variant_figures/roussos_2024.childhood.Astrocyte/rs73179792_count_position.png",4,220,900)</f>
        <v/>
      </c>
      <c r="T3691">
        <f>IMAGE("https://mitra.stanford.edu/kundaje/oak/projects/neuro-variants/variant_position/credible/roussos_2024/variant_figures/roussos_2024.childhood.Astrocyte/rs73179792_profile_position.png",4,220,900)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-0.1070331445999999</v>
      </c>
      <c r="G3692" t="n">
        <v>0.06778333822266699</v>
      </c>
      <c r="H3692" t="n">
        <v>0.0180522300070324</v>
      </c>
      <c r="I3692" t="n">
        <v>0.1833032041333708</v>
      </c>
      <c r="J3692" t="n">
        <v>0.0456687504293466</v>
      </c>
      <c r="K3692" t="n">
        <v>0.5065193398094489</v>
      </c>
      <c r="L3692" t="b">
        <v>0</v>
      </c>
      <c r="M3692" t="b">
        <v>0</v>
      </c>
      <c r="N3692" t="inlineStr">
        <is>
          <t>ref</t>
        </is>
      </c>
      <c r="O3692" t="n">
        <v>70</v>
      </c>
      <c r="P3692" t="n">
        <v>0.03052</v>
      </c>
      <c r="Q3692" t="n">
        <v>-35</v>
      </c>
      <c r="R3692" t="n">
        <v>0.06884999999999999</v>
      </c>
      <c r="S3692">
        <f>IMAGE("https://mitra.stanford.edu/kundaje/oak/projects/neuro-variants/variant_position/credible/roussos_2024/variant_figures/roussos_2024.childhood.Astrocyte/rs28678480_count_position.png",4,220,900)</f>
        <v/>
      </c>
      <c r="T3692">
        <f>IMAGE("https://mitra.stanford.edu/kundaje/oak/projects/neuro-variants/variant_position/credible/roussos_2024/variant_figures/roussos_2024.childhood.Astrocyte/rs28678480_profile_position.png",4,220,900)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-0.148574878</v>
      </c>
      <c r="G3693" t="n">
        <v>0.0379243296118375</v>
      </c>
      <c r="H3693" t="n">
        <v>0.0166857277925337</v>
      </c>
      <c r="I3693" t="n">
        <v>0.2277973676481245</v>
      </c>
      <c r="J3693" t="n">
        <v>0.0103119537755794</v>
      </c>
      <c r="K3693" t="n">
        <v>0.7122458364178897</v>
      </c>
      <c r="L3693" t="b">
        <v>0</v>
      </c>
      <c r="M3693" t="b">
        <v>0</v>
      </c>
      <c r="N3693" t="inlineStr">
        <is>
          <t>ref</t>
        </is>
      </c>
      <c r="O3693" t="n">
        <v>-70</v>
      </c>
      <c r="P3693" t="n">
        <v>0.02054</v>
      </c>
      <c r="Q3693" t="n">
        <v>-25</v>
      </c>
      <c r="R3693" t="n">
        <v>0.02441</v>
      </c>
      <c r="S3693">
        <f>IMAGE("https://mitra.stanford.edu/kundaje/oak/projects/neuro-variants/variant_position/credible/roussos_2024/variant_figures/roussos_2024.childhood.Astrocyte/rs12668780_count_position.png",4,220,900)</f>
        <v/>
      </c>
      <c r="T3693">
        <f>IMAGE("https://mitra.stanford.edu/kundaje/oak/projects/neuro-variants/variant_position/credible/roussos_2024/variant_figures/roussos_2024.childhood.Astrocyte/rs12668780_profile_position.png",4,220,900)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-0.0437040512</v>
      </c>
      <c r="G3694" t="n">
        <v>0.2156520615940995</v>
      </c>
      <c r="H3694" t="n">
        <v>0.0107668301685399</v>
      </c>
      <c r="I3694" t="n">
        <v>0.6271859551081367</v>
      </c>
      <c r="J3694" t="n">
        <v>0.5544411623274026</v>
      </c>
      <c r="K3694" t="n">
        <v>0.0411577996542499</v>
      </c>
      <c r="L3694" t="b">
        <v>0</v>
      </c>
      <c r="M3694" t="b">
        <v>0</v>
      </c>
      <c r="N3694" t="inlineStr">
        <is>
          <t>ref</t>
        </is>
      </c>
      <c r="O3694" t="n">
        <v>-35</v>
      </c>
      <c r="P3694" t="n">
        <v>0.001648</v>
      </c>
      <c r="Q3694" t="n">
        <v>-35</v>
      </c>
      <c r="R3694" t="n">
        <v>0.10645</v>
      </c>
      <c r="S3694">
        <f>IMAGE("https://mitra.stanford.edu/kundaje/oak/projects/neuro-variants/variant_position/credible/roussos_2024/variant_figures/roussos_2024.childhood.Astrocyte/rs7385083_count_position.png",4,220,900)</f>
        <v/>
      </c>
      <c r="T3694">
        <f>IMAGE("https://mitra.stanford.edu/kundaje/oak/projects/neuro-variants/variant_position/credible/roussos_2024/variant_figures/roussos_2024.childhood.Astrocyte/rs7385083_profile_position.png",4,220,900)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0.03017850112</v>
      </c>
      <c r="G3695" t="n">
        <v>0.3773625475706975</v>
      </c>
      <c r="H3695" t="n">
        <v>0.0119349830558082</v>
      </c>
      <c r="I3695" t="n">
        <v>0.5154054615540746</v>
      </c>
      <c r="J3695" t="n">
        <v>0.2917977605275811</v>
      </c>
      <c r="K3695" t="n">
        <v>0.1371059096435553</v>
      </c>
      <c r="L3695" t="b">
        <v>0</v>
      </c>
      <c r="M3695" t="b">
        <v>0</v>
      </c>
      <c r="N3695" t="inlineStr">
        <is>
          <t>alt</t>
        </is>
      </c>
      <c r="O3695" t="n">
        <v>100</v>
      </c>
      <c r="P3695" t="n">
        <v>0.007084</v>
      </c>
      <c r="Q3695" t="n">
        <v>65</v>
      </c>
      <c r="R3695" t="n">
        <v>0.07837</v>
      </c>
      <c r="S3695">
        <f>IMAGE("https://mitra.stanford.edu/kundaje/oak/projects/neuro-variants/variant_position/credible/roussos_2024/variant_figures/roussos_2024.childhood.Astrocyte/rs73181662_count_position.png",4,220,900)</f>
        <v/>
      </c>
      <c r="T3695">
        <f>IMAGE("https://mitra.stanford.edu/kundaje/oak/projects/neuro-variants/variant_position/credible/roussos_2024/variant_figures/roussos_2024.childhood.Astrocyte/rs73181662_profile_position.png",4,220,900)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0.1116296713999999</v>
      </c>
      <c r="G3696" t="n">
        <v>0.0693252215177657</v>
      </c>
      <c r="H3696" t="n">
        <v>0.0189287288928791</v>
      </c>
      <c r="I3696" t="n">
        <v>0.1485020724696425</v>
      </c>
      <c r="J3696" t="n">
        <v>0.2656095196659873</v>
      </c>
      <c r="K3696" t="n">
        <v>0.151541314153316</v>
      </c>
      <c r="L3696" t="b">
        <v>0</v>
      </c>
      <c r="M3696" t="b">
        <v>0</v>
      </c>
      <c r="N3696" t="inlineStr">
        <is>
          <t>alt</t>
        </is>
      </c>
      <c r="O3696" t="n">
        <v>-15</v>
      </c>
      <c r="P3696" t="n">
        <v>0.002106</v>
      </c>
      <c r="Q3696" t="n">
        <v>-5</v>
      </c>
      <c r="R3696" t="n">
        <v>0.0249</v>
      </c>
      <c r="S3696">
        <f>IMAGE("https://mitra.stanford.edu/kundaje/oak/projects/neuro-variants/variant_position/credible/roussos_2024/variant_figures/roussos_2024.childhood.Astrocyte/rs9654908_count_position.png",4,220,900)</f>
        <v/>
      </c>
      <c r="T3696">
        <f>IMAGE("https://mitra.stanford.edu/kundaje/oak/projects/neuro-variants/variant_position/credible/roussos_2024/variant_figures/roussos_2024.childhood.Astrocyte/rs9654908_profile_position.png",4,220,900)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-0.036520105</v>
      </c>
      <c r="G3697" t="n">
        <v>0.266918162906855</v>
      </c>
      <c r="H3697" t="n">
        <v>0.0161284199422262</v>
      </c>
      <c r="I3697" t="n">
        <v>0.2506466002772685</v>
      </c>
      <c r="J3697" t="n">
        <v>0.2251944463526519</v>
      </c>
      <c r="K3697" t="n">
        <v>0.1803894456753467</v>
      </c>
      <c r="L3697" t="b">
        <v>0</v>
      </c>
      <c r="M3697" t="b">
        <v>0</v>
      </c>
      <c r="N3697" t="inlineStr">
        <is>
          <t>ref</t>
        </is>
      </c>
      <c r="O3697" t="n">
        <v>-45</v>
      </c>
      <c r="P3697" t="n">
        <v>0.01082</v>
      </c>
      <c r="Q3697" t="n">
        <v>-30</v>
      </c>
      <c r="R3697" t="n">
        <v>0.147</v>
      </c>
      <c r="S3697">
        <f>IMAGE("https://mitra.stanford.edu/kundaje/oak/projects/neuro-variants/variant_position/credible/roussos_2024/variant_figures/roussos_2024.childhood.Astrocyte/rs2527310_count_position.png",4,220,900)</f>
        <v/>
      </c>
      <c r="T3697">
        <f>IMAGE("https://mitra.stanford.edu/kundaje/oak/projects/neuro-variants/variant_position/credible/roussos_2024/variant_figures/roussos_2024.childhood.Astrocyte/rs2527310_profile_position.png",4,220,900)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0.28720646</v>
      </c>
      <c r="G3698" t="n">
        <v>0.0064984552374015</v>
      </c>
      <c r="H3698" t="n">
        <v>0.0367945459517905</v>
      </c>
      <c r="I3698" t="n">
        <v>0.0143618751875018</v>
      </c>
      <c r="J3698" t="n">
        <v>0.0239663239525848</v>
      </c>
      <c r="K3698" t="n">
        <v>0.5732178907619644</v>
      </c>
      <c r="L3698" t="b">
        <v>1</v>
      </c>
      <c r="M3698" t="b">
        <v>1</v>
      </c>
      <c r="N3698" t="inlineStr">
        <is>
          <t>alt</t>
        </is>
      </c>
      <c r="O3698" t="n">
        <v>-15</v>
      </c>
      <c r="P3698" t="n">
        <v>0.002533</v>
      </c>
      <c r="Q3698" t="n">
        <v>90</v>
      </c>
      <c r="R3698" t="n">
        <v>0.1096</v>
      </c>
      <c r="S3698">
        <f>IMAGE("https://mitra.stanford.edu/kundaje/oak/projects/neuro-variants/variant_position/credible/roussos_2024/variant_figures/roussos_2024.childhood.Astrocyte/rs2141885_count_position.png",4,220,900)</f>
        <v/>
      </c>
      <c r="T3698">
        <f>IMAGE("https://mitra.stanford.edu/kundaje/oak/projects/neuro-variants/variant_position/credible/roussos_2024/variant_figures/roussos_2024.childhood.Astrocyte/rs2141885_profile_position.png",4,220,900)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-0.0259770932</v>
      </c>
      <c r="G3699" t="n">
        <v>0.4475528485736892</v>
      </c>
      <c r="H3699" t="n">
        <v>0.0370646205393537</v>
      </c>
      <c r="I3699" t="n">
        <v>0.0132355703043846</v>
      </c>
      <c r="J3699" t="n">
        <v>0.3036568890110141</v>
      </c>
      <c r="K3699" t="n">
        <v>0.1313032401864783</v>
      </c>
      <c r="L3699" t="b">
        <v>1</v>
      </c>
      <c r="M3699" t="b">
        <v>0</v>
      </c>
      <c r="N3699" t="inlineStr">
        <is>
          <t>ref</t>
        </is>
      </c>
      <c r="O3699" t="n">
        <v>100</v>
      </c>
      <c r="P3699" t="n">
        <v>0.001015</v>
      </c>
      <c r="Q3699" t="n">
        <v>-90</v>
      </c>
      <c r="R3699" t="n">
        <v>0.2324</v>
      </c>
      <c r="S3699">
        <f>IMAGE("https://mitra.stanford.edu/kundaje/oak/projects/neuro-variants/variant_position/credible/roussos_2024/variant_figures/roussos_2024.childhood.Astrocyte/rs7791195_count_position.png",4,220,900)</f>
        <v/>
      </c>
      <c r="T3699">
        <f>IMAGE("https://mitra.stanford.edu/kundaje/oak/projects/neuro-variants/variant_position/credible/roussos_2024/variant_figures/roussos_2024.childhood.Astrocyte/rs7791195_profile_position.png",4,220,900)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-0.011029337032</v>
      </c>
      <c r="G3700" t="n">
        <v>0.7081227603091002</v>
      </c>
      <c r="H3700" t="n">
        <v>0.0533017653961507</v>
      </c>
      <c r="I3700" t="n">
        <v>0.003184270348859</v>
      </c>
      <c r="J3700" t="n">
        <v>0.0050521703953042</v>
      </c>
      <c r="K3700" t="n">
        <v>0.7695224165315809</v>
      </c>
      <c r="L3700" t="b">
        <v>0</v>
      </c>
      <c r="M3700" t="b">
        <v>0</v>
      </c>
      <c r="N3700" t="inlineStr">
        <is>
          <t>ref</t>
        </is>
      </c>
      <c r="O3700" t="n">
        <v>-60</v>
      </c>
      <c r="P3700" t="n">
        <v>0.011475</v>
      </c>
      <c r="Q3700" t="n">
        <v>60</v>
      </c>
      <c r="R3700" t="n">
        <v>0.1134</v>
      </c>
      <c r="S3700">
        <f>IMAGE("https://mitra.stanford.edu/kundaje/oak/projects/neuro-variants/variant_position/credible/roussos_2024/variant_figures/roussos_2024.childhood.Astrocyte/rs7799227_count_position.png",4,220,900)</f>
        <v/>
      </c>
      <c r="T3700">
        <f>IMAGE("https://mitra.stanford.edu/kundaje/oak/projects/neuro-variants/variant_position/credible/roussos_2024/variant_figures/roussos_2024.childhood.Astrocyte/rs7799227_profile_position.png",4,220,900)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-0.000964116584</v>
      </c>
      <c r="G3701" t="n">
        <v>0.9517779563750924</v>
      </c>
      <c r="H3701" t="n">
        <v>0.0210785684112765</v>
      </c>
      <c r="I3701" t="n">
        <v>0.1052221938197775</v>
      </c>
      <c r="J3701" t="n">
        <v>0.077228213994031</v>
      </c>
      <c r="K3701" t="n">
        <v>0.3776496373184598</v>
      </c>
      <c r="L3701" t="b">
        <v>0</v>
      </c>
      <c r="M3701" t="b">
        <v>0</v>
      </c>
      <c r="N3701" t="inlineStr">
        <is>
          <t>ref</t>
        </is>
      </c>
      <c r="O3701" t="n">
        <v>-45</v>
      </c>
      <c r="P3701" t="n">
        <v>0.002747</v>
      </c>
      <c r="Q3701" t="n">
        <v>85</v>
      </c>
      <c r="R3701" t="n">
        <v>0.1699</v>
      </c>
      <c r="S3701">
        <f>IMAGE("https://mitra.stanford.edu/kundaje/oak/projects/neuro-variants/variant_position/credible/roussos_2024/variant_figures/roussos_2024.childhood.Astrocyte/rs13231507_count_position.png",4,220,900)</f>
        <v/>
      </c>
      <c r="T3701">
        <f>IMAGE("https://mitra.stanford.edu/kundaje/oak/projects/neuro-variants/variant_position/credible/roussos_2024/variant_figures/roussos_2024.childhood.Astrocyte/rs13231507_profile_position.png",4,220,900)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0.00111344894</v>
      </c>
      <c r="G3702" t="n">
        <v>0.7836927501762042</v>
      </c>
      <c r="H3702" t="n">
        <v>0.0207091816681576</v>
      </c>
      <c r="I3702" t="n">
        <v>0.1117398787794988</v>
      </c>
      <c r="J3702" t="n">
        <v>0.1996939235037744</v>
      </c>
      <c r="K3702" t="n">
        <v>0.201281389518916</v>
      </c>
      <c r="L3702" t="b">
        <v>0</v>
      </c>
      <c r="M3702" t="b">
        <v>0</v>
      </c>
      <c r="N3702" t="inlineStr">
        <is>
          <t>alt</t>
        </is>
      </c>
      <c r="O3702" t="n">
        <v>100</v>
      </c>
      <c r="P3702" t="n">
        <v>0.08856</v>
      </c>
      <c r="Q3702" t="n">
        <v>100</v>
      </c>
      <c r="R3702" t="n">
        <v>0.68</v>
      </c>
      <c r="S3702">
        <f>IMAGE("https://mitra.stanford.edu/kundaje/oak/projects/neuro-variants/variant_position/credible/roussos_2024/variant_figures/roussos_2024.childhood.Astrocyte/rs7801170_count_position.png",4,220,900)</f>
        <v/>
      </c>
      <c r="T3702">
        <f>IMAGE("https://mitra.stanford.edu/kundaje/oak/projects/neuro-variants/variant_position/credible/roussos_2024/variant_figures/roussos_2024.childhood.Astrocyte/rs7801170_profile_position.png",4,220,900)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-0.01201884266</v>
      </c>
      <c r="G3703" t="n">
        <v>0.662718446626449</v>
      </c>
      <c r="H3703" t="n">
        <v>0.0250001029690636</v>
      </c>
      <c r="I3703" t="n">
        <v>0.0583770994164849</v>
      </c>
      <c r="J3703" t="n">
        <v>0.0728950562157953</v>
      </c>
      <c r="K3703" t="n">
        <v>0.3788293456705587</v>
      </c>
      <c r="L3703" t="b">
        <v>0</v>
      </c>
      <c r="M3703" t="b">
        <v>0</v>
      </c>
      <c r="N3703" t="inlineStr">
        <is>
          <t>ref</t>
        </is>
      </c>
      <c r="O3703" t="n">
        <v>50</v>
      </c>
      <c r="P3703" t="n">
        <v>0.02032</v>
      </c>
      <c r="Q3703" t="n">
        <v>-90</v>
      </c>
      <c r="R3703" t="n">
        <v>0.1484</v>
      </c>
      <c r="S3703">
        <f>IMAGE("https://mitra.stanford.edu/kundaje/oak/projects/neuro-variants/variant_position/credible/roussos_2024/variant_figures/roussos_2024.childhood.Astrocyte/rs12537428_count_position.png",4,220,900)</f>
        <v/>
      </c>
      <c r="T3703">
        <f>IMAGE("https://mitra.stanford.edu/kundaje/oak/projects/neuro-variants/variant_position/credible/roussos_2024/variant_figures/roussos_2024.childhood.Astrocyte/rs12537428_profile_position.png",4,220,900)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-0.294665762</v>
      </c>
      <c r="G3704" t="n">
        <v>0.006085954378348</v>
      </c>
      <c r="H3704" t="n">
        <v>0.0256800297777574</v>
      </c>
      <c r="I3704" t="n">
        <v>0.056144042940272</v>
      </c>
      <c r="J3704" t="n">
        <v>0.07137077999893129</v>
      </c>
      <c r="K3704" t="n">
        <v>0.3842464860810508</v>
      </c>
      <c r="L3704" t="b">
        <v>1</v>
      </c>
      <c r="M3704" t="b">
        <v>1</v>
      </c>
      <c r="N3704" t="inlineStr">
        <is>
          <t>ref</t>
        </is>
      </c>
      <c r="O3704" t="n">
        <v>-15</v>
      </c>
      <c r="P3704" t="n">
        <v>0.009900000000000001</v>
      </c>
      <c r="Q3704" t="n">
        <v>80</v>
      </c>
      <c r="R3704" t="n">
        <v>0.1162</v>
      </c>
      <c r="S3704">
        <f>IMAGE("https://mitra.stanford.edu/kundaje/oak/projects/neuro-variants/variant_position/credible/roussos_2024/variant_figures/roussos_2024.childhood.Astrocyte/rs10486883_count_position.png",4,220,900)</f>
        <v/>
      </c>
      <c r="T3704">
        <f>IMAGE("https://mitra.stanford.edu/kundaje/oak/projects/neuro-variants/variant_position/credible/roussos_2024/variant_figures/roussos_2024.childhood.Astrocyte/rs10486883_profile_position.png",4,220,900)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-0.0289735699199999</v>
      </c>
      <c r="G3705" t="n">
        <v>0.3997626719170646</v>
      </c>
      <c r="H3705" t="n">
        <v>0.0267462820431233</v>
      </c>
      <c r="I3705" t="n">
        <v>0.046076373198129</v>
      </c>
      <c r="J3705" t="n">
        <v>0.0358101867753581</v>
      </c>
      <c r="K3705" t="n">
        <v>0.5041375417023132</v>
      </c>
      <c r="L3705" t="b">
        <v>0</v>
      </c>
      <c r="M3705" t="b">
        <v>0</v>
      </c>
      <c r="N3705" t="inlineStr">
        <is>
          <t>ref</t>
        </is>
      </c>
      <c r="O3705" t="n">
        <v>-95</v>
      </c>
      <c r="P3705" t="n">
        <v>0.009339999999999999</v>
      </c>
      <c r="Q3705" t="n">
        <v>-95</v>
      </c>
      <c r="R3705" t="n">
        <v>0.0808</v>
      </c>
      <c r="S3705">
        <f>IMAGE("https://mitra.stanford.edu/kundaje/oak/projects/neuro-variants/variant_position/credible/roussos_2024/variant_figures/roussos_2024.childhood.Astrocyte/rs12154550_count_position.png",4,220,900)</f>
        <v/>
      </c>
      <c r="T3705">
        <f>IMAGE("https://mitra.stanford.edu/kundaje/oak/projects/neuro-variants/variant_position/credible/roussos_2024/variant_figures/roussos_2024.childhood.Astrocyte/rs12154550_profile_position.png",4,220,900)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-0.0921783368</v>
      </c>
      <c r="G3706" t="n">
        <v>0.0983076019773117</v>
      </c>
      <c r="H3706" t="n">
        <v>0.0129739645125452</v>
      </c>
      <c r="I3706" t="n">
        <v>0.4196392838844517</v>
      </c>
      <c r="J3706" t="n">
        <v>0.0668689366704066</v>
      </c>
      <c r="K3706" t="n">
        <v>0.398120993979929</v>
      </c>
      <c r="L3706" t="b">
        <v>0</v>
      </c>
      <c r="M3706" t="b">
        <v>0</v>
      </c>
      <c r="N3706" t="inlineStr">
        <is>
          <t>ref</t>
        </is>
      </c>
      <c r="O3706" t="n">
        <v>60</v>
      </c>
      <c r="P3706" t="n">
        <v>0.00592</v>
      </c>
      <c r="Q3706" t="n">
        <v>-20</v>
      </c>
      <c r="R3706" t="n">
        <v>0.03485</v>
      </c>
      <c r="S3706">
        <f>IMAGE("https://mitra.stanford.edu/kundaje/oak/projects/neuro-variants/variant_position/credible/roussos_2024/variant_figures/roussos_2024.childhood.Astrocyte/rs4719223_count_position.png",4,220,900)</f>
        <v/>
      </c>
      <c r="T3706">
        <f>IMAGE("https://mitra.stanford.edu/kundaje/oak/projects/neuro-variants/variant_position/credible/roussos_2024/variant_figures/roussos_2024.childhood.Astrocyte/rs4719223_profile_position.png",4,220,900)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-0.030406228</v>
      </c>
      <c r="G3707" t="n">
        <v>0.3857130674308469</v>
      </c>
      <c r="H3707" t="n">
        <v>0.0606253811545049</v>
      </c>
      <c r="I3707" t="n">
        <v>0.0019685520266015</v>
      </c>
      <c r="J3707" t="n">
        <v>0.0042720951355971</v>
      </c>
      <c r="K3707" t="n">
        <v>0.7969127221197397</v>
      </c>
      <c r="L3707" t="b">
        <v>0</v>
      </c>
      <c r="M3707" t="b">
        <v>0</v>
      </c>
      <c r="N3707" t="inlineStr">
        <is>
          <t>ref</t>
        </is>
      </c>
      <c r="O3707" t="n">
        <v>-100</v>
      </c>
      <c r="P3707" t="n">
        <v>0.0083</v>
      </c>
      <c r="Q3707" t="n">
        <v>70</v>
      </c>
      <c r="R3707" t="n">
        <v>0.1288</v>
      </c>
      <c r="S3707">
        <f>IMAGE("https://mitra.stanford.edu/kundaje/oak/projects/neuro-variants/variant_position/credible/roussos_2024/variant_figures/roussos_2024.childhood.Astrocyte/rs5025436_count_position.png",4,220,900)</f>
        <v/>
      </c>
      <c r="T3707">
        <f>IMAGE("https://mitra.stanford.edu/kundaje/oak/projects/neuro-variants/variant_position/credible/roussos_2024/variant_figures/roussos_2024.childhood.Astrocyte/rs5025436_profile_position.png",4,220,900)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-0.01544259954</v>
      </c>
      <c r="G3708" t="n">
        <v>0.6116644776196997</v>
      </c>
      <c r="H3708" t="n">
        <v>0.0094754590388735</v>
      </c>
      <c r="I3708" t="n">
        <v>0.7696607819213407</v>
      </c>
      <c r="J3708" t="n">
        <v>0.0634654576263423</v>
      </c>
      <c r="K3708" t="n">
        <v>0.4305112499221635</v>
      </c>
      <c r="L3708" t="b">
        <v>0</v>
      </c>
      <c r="M3708" t="b">
        <v>0</v>
      </c>
      <c r="N3708" t="inlineStr">
        <is>
          <t>ref</t>
        </is>
      </c>
      <c r="O3708" t="n">
        <v>-100</v>
      </c>
      <c r="P3708" t="n">
        <v>0.009476</v>
      </c>
      <c r="Q3708" t="n">
        <v>-85</v>
      </c>
      <c r="R3708" t="n">
        <v>0.04608</v>
      </c>
      <c r="S3708">
        <f>IMAGE("https://mitra.stanford.edu/kundaje/oak/projects/neuro-variants/variant_position/credible/roussos_2024/variant_figures/roussos_2024.childhood.Astrocyte/rs78928669_count_position.png",4,220,900)</f>
        <v/>
      </c>
      <c r="T3708">
        <f>IMAGE("https://mitra.stanford.edu/kundaje/oak/projects/neuro-variants/variant_position/credible/roussos_2024/variant_figures/roussos_2024.childhood.Astrocyte/rs78928669_profile_position.png",4,220,900)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-0.0385529122</v>
      </c>
      <c r="G3709" t="n">
        <v>0.2987563756856905</v>
      </c>
      <c r="H3709" t="n">
        <v>0.0111097037614611</v>
      </c>
      <c r="I3709" t="n">
        <v>0.6007080250308517</v>
      </c>
      <c r="J3709" t="n">
        <v>0.0281582743697189</v>
      </c>
      <c r="K3709" t="n">
        <v>0.5543198245586264</v>
      </c>
      <c r="L3709" t="b">
        <v>0</v>
      </c>
      <c r="M3709" t="b">
        <v>0</v>
      </c>
      <c r="N3709" t="inlineStr">
        <is>
          <t>ref</t>
        </is>
      </c>
      <c r="O3709" t="n">
        <v>100</v>
      </c>
      <c r="P3709" t="n">
        <v>0.01094</v>
      </c>
      <c r="Q3709" t="n">
        <v>100</v>
      </c>
      <c r="R3709" t="n">
        <v>0.0849</v>
      </c>
      <c r="S3709">
        <f>IMAGE("https://mitra.stanford.edu/kundaje/oak/projects/neuro-variants/variant_position/credible/roussos_2024/variant_figures/roussos_2024.childhood.Astrocyte/rs2944829_count_position.png",4,220,900)</f>
        <v/>
      </c>
      <c r="T3709">
        <f>IMAGE("https://mitra.stanford.edu/kundaje/oak/projects/neuro-variants/variant_position/credible/roussos_2024/variant_figures/roussos_2024.childhood.Astrocyte/rs2944829_profile_position.png",4,220,900)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0.090574881</v>
      </c>
      <c r="G3710" t="n">
        <v>0.0866426083236024</v>
      </c>
      <c r="H3710" t="n">
        <v>0.0118307924301415</v>
      </c>
      <c r="I3710" t="n">
        <v>0.5328169315290952</v>
      </c>
      <c r="J3710" t="n">
        <v>0.0020333859998625</v>
      </c>
      <c r="K3710" t="n">
        <v>0.8694498230347832</v>
      </c>
      <c r="L3710" t="b">
        <v>0</v>
      </c>
      <c r="M3710" t="b">
        <v>0</v>
      </c>
      <c r="N3710" t="inlineStr">
        <is>
          <t>alt</t>
        </is>
      </c>
      <c r="O3710" t="n">
        <v>-10</v>
      </c>
      <c r="P3710" t="n">
        <v>0.00232</v>
      </c>
      <c r="Q3710" t="n">
        <v>85</v>
      </c>
      <c r="R3710" t="n">
        <v>0.1362</v>
      </c>
      <c r="S3710">
        <f>IMAGE("https://mitra.stanford.edu/kundaje/oak/projects/neuro-variants/variant_position/credible/roussos_2024/variant_figures/roussos_2024.childhood.Astrocyte/rs2944825_count_position.png",4,220,900)</f>
        <v/>
      </c>
      <c r="T3710">
        <f>IMAGE("https://mitra.stanford.edu/kundaje/oak/projects/neuro-variants/variant_position/credible/roussos_2024/variant_figures/roussos_2024.childhood.Astrocyte/rs2944825_profile_position.png",4,220,900)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-0.2100395659999999</v>
      </c>
      <c r="G3711" t="n">
        <v>0.0158047365146744</v>
      </c>
      <c r="H3711" t="n">
        <v>0.0248859683085604</v>
      </c>
      <c r="I3711" t="n">
        <v>0.062002345593751</v>
      </c>
      <c r="J3711" t="n">
        <v>0.5389404104936151</v>
      </c>
      <c r="K3711" t="n">
        <v>0.0455618398436697</v>
      </c>
      <c r="L3711" t="b">
        <v>1</v>
      </c>
      <c r="M3711" t="b">
        <v>0</v>
      </c>
      <c r="N3711" t="inlineStr">
        <is>
          <t>ref</t>
        </is>
      </c>
      <c r="O3711" t="n">
        <v>60</v>
      </c>
      <c r="P3711" t="n">
        <v>0.004414</v>
      </c>
      <c r="Q3711" t="n">
        <v>55</v>
      </c>
      <c r="R3711" t="n">
        <v>0.05908</v>
      </c>
      <c r="S3711">
        <f>IMAGE("https://mitra.stanford.edu/kundaje/oak/projects/neuro-variants/variant_position/credible/roussos_2024/variant_figures/roussos_2024.childhood.Astrocyte/rs11768943_count_position.png",4,220,900)</f>
        <v/>
      </c>
      <c r="T3711">
        <f>IMAGE("https://mitra.stanford.edu/kundaje/oak/projects/neuro-variants/variant_position/credible/roussos_2024/variant_figures/roussos_2024.childhood.Astrocyte/rs11768943_profile_position.png",4,220,900)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-0.140243099</v>
      </c>
      <c r="G3712" t="n">
        <v>0.0365995529176602</v>
      </c>
      <c r="H3712" t="n">
        <v>0.0235074572991874</v>
      </c>
      <c r="I3712" t="n">
        <v>0.07327208512429501</v>
      </c>
      <c r="J3712" t="n">
        <v>0.1214589391892407</v>
      </c>
      <c r="K3712" t="n">
        <v>0.2904076877744521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0.04547</v>
      </c>
      <c r="Q3712" t="n">
        <v>100</v>
      </c>
      <c r="R3712" t="n">
        <v>0.2212</v>
      </c>
      <c r="S3712">
        <f>IMAGE("https://mitra.stanford.edu/kundaje/oak/projects/neuro-variants/variant_position/credible/roussos_2024/variant_figures/roussos_2024.childhood.Astrocyte/rs2944814_count_position.png",4,220,900)</f>
        <v/>
      </c>
      <c r="T3712">
        <f>IMAGE("https://mitra.stanford.edu/kundaje/oak/projects/neuro-variants/variant_position/credible/roussos_2024/variant_figures/roussos_2024.childhood.Astrocyte/rs2944814_profile_position.png",4,220,900)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-0.0487621018</v>
      </c>
      <c r="G3713" t="n">
        <v>0.2280304784603187</v>
      </c>
      <c r="H3713" t="n">
        <v>0.0400950385739929</v>
      </c>
      <c r="I3713" t="n">
        <v>0.0095357738244609</v>
      </c>
      <c r="J3713" t="n">
        <v>0.0038782410905787</v>
      </c>
      <c r="K3713" t="n">
        <v>0.8232971308018344</v>
      </c>
      <c r="L3713" t="b">
        <v>0</v>
      </c>
      <c r="M3713" t="b">
        <v>0</v>
      </c>
      <c r="N3713" t="inlineStr">
        <is>
          <t>ref</t>
        </is>
      </c>
      <c r="O3713" t="n">
        <v>50</v>
      </c>
      <c r="P3713" t="n">
        <v>0.003904</v>
      </c>
      <c r="Q3713" t="n">
        <v>-50</v>
      </c>
      <c r="R3713" t="n">
        <v>0.01791</v>
      </c>
      <c r="S3713">
        <f>IMAGE("https://mitra.stanford.edu/kundaje/oak/projects/neuro-variants/variant_position/credible/roussos_2024/variant_figures/roussos_2024.childhood.Astrocyte/rs11764286_count_position.png",4,220,900)</f>
        <v/>
      </c>
      <c r="T3713">
        <f>IMAGE("https://mitra.stanford.edu/kundaje/oak/projects/neuro-variants/variant_position/credible/roussos_2024/variant_figures/roussos_2024.childhood.Astrocyte/rs11764286_profile_position.png",4,220,900)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0.0103906093319999</v>
      </c>
      <c r="G3714" t="n">
        <v>0.7065965855052735</v>
      </c>
      <c r="H3714" t="n">
        <v>0.0263931618326479</v>
      </c>
      <c r="I3714" t="n">
        <v>0.0494627660416992</v>
      </c>
      <c r="J3714" t="n">
        <v>0.1042476700785417</v>
      </c>
      <c r="K3714" t="n">
        <v>0.3157470785007703</v>
      </c>
      <c r="L3714" t="b">
        <v>0</v>
      </c>
      <c r="M3714" t="b">
        <v>0</v>
      </c>
      <c r="N3714" t="inlineStr">
        <is>
          <t>alt</t>
        </is>
      </c>
      <c r="O3714" t="n">
        <v>-80</v>
      </c>
      <c r="P3714" t="n">
        <v>0.0238</v>
      </c>
      <c r="Q3714" t="n">
        <v>-85</v>
      </c>
      <c r="R3714" t="n">
        <v>0.1841</v>
      </c>
      <c r="S3714">
        <f>IMAGE("https://mitra.stanford.edu/kundaje/oak/projects/neuro-variants/variant_position/credible/roussos_2024/variant_figures/roussos_2024.childhood.Astrocyte/rs2944808_count_position.png",4,220,900)</f>
        <v/>
      </c>
      <c r="T3714">
        <f>IMAGE("https://mitra.stanford.edu/kundaje/oak/projects/neuro-variants/variant_position/credible/roussos_2024/variant_figures/roussos_2024.childhood.Astrocyte/rs2944808_profile_position.png",4,220,900)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0.0006637443399999001</v>
      </c>
      <c r="G3715" t="n">
        <v>0.8764916308817893</v>
      </c>
      <c r="H3715" t="n">
        <v>0.0298122693970769</v>
      </c>
      <c r="I3715" t="n">
        <v>0.0319644358919804</v>
      </c>
      <c r="J3715" t="n">
        <v>0.1024264767618479</v>
      </c>
      <c r="K3715" t="n">
        <v>0.3188340609818073</v>
      </c>
      <c r="L3715" t="b">
        <v>0</v>
      </c>
      <c r="M3715" t="b">
        <v>0</v>
      </c>
      <c r="N3715" t="inlineStr">
        <is>
          <t>alt</t>
        </is>
      </c>
      <c r="O3715" t="n">
        <v>-80</v>
      </c>
      <c r="P3715" t="n">
        <v>0.0285</v>
      </c>
      <c r="Q3715" t="n">
        <v>-90</v>
      </c>
      <c r="R3715" t="n">
        <v>0.1921</v>
      </c>
      <c r="S3715">
        <f>IMAGE("https://mitra.stanford.edu/kundaje/oak/projects/neuro-variants/variant_position/credible/roussos_2024/variant_figures/roussos_2024.childhood.Astrocyte/rs2968518_count_position.png",4,220,900)</f>
        <v/>
      </c>
      <c r="T3715">
        <f>IMAGE("https://mitra.stanford.edu/kundaje/oak/projects/neuro-variants/variant_position/credible/roussos_2024/variant_figures/roussos_2024.childhood.Astrocyte/rs2968518_profile_position.png",4,220,900)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0.01429145464</v>
      </c>
      <c r="G3716" t="n">
        <v>0.5676181790733849</v>
      </c>
      <c r="H3716" t="n">
        <v>0.0162000313665756</v>
      </c>
      <c r="I3716" t="n">
        <v>0.2411502784452278</v>
      </c>
      <c r="J3716" t="n">
        <v>0.0269354949508826</v>
      </c>
      <c r="K3716" t="n">
        <v>0.5457610968416263</v>
      </c>
      <c r="L3716" t="b">
        <v>0</v>
      </c>
      <c r="M3716" t="b">
        <v>0</v>
      </c>
      <c r="N3716" t="inlineStr">
        <is>
          <t>alt</t>
        </is>
      </c>
      <c r="O3716" t="n">
        <v>20</v>
      </c>
      <c r="P3716" t="n">
        <v>0.005295</v>
      </c>
      <c r="Q3716" t="n">
        <v>-80</v>
      </c>
      <c r="R3716" t="n">
        <v>0.02527</v>
      </c>
      <c r="S3716">
        <f>IMAGE("https://mitra.stanford.edu/kundaje/oak/projects/neuro-variants/variant_position/credible/roussos_2024/variant_figures/roussos_2024.childhood.Astrocyte/rs2968538_count_position.png",4,220,900)</f>
        <v/>
      </c>
      <c r="T3716">
        <f>IMAGE("https://mitra.stanford.edu/kundaje/oak/projects/neuro-variants/variant_position/credible/roussos_2024/variant_figures/roussos_2024.childhood.Astrocyte/rs2968538_profile_position.png",4,220,900)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-0.0874648364</v>
      </c>
      <c r="G3717" t="n">
        <v>0.0916057876091262</v>
      </c>
      <c r="H3717" t="n">
        <v>0.0178211199711268</v>
      </c>
      <c r="I3717" t="n">
        <v>0.1934004461896312</v>
      </c>
      <c r="J3717" t="n">
        <v>0.0033553922129864</v>
      </c>
      <c r="K3717" t="n">
        <v>0.8236570596509972</v>
      </c>
      <c r="L3717" t="b">
        <v>0</v>
      </c>
      <c r="M3717" t="b">
        <v>0</v>
      </c>
      <c r="N3717" t="inlineStr">
        <is>
          <t>ref</t>
        </is>
      </c>
      <c r="O3717" t="n">
        <v>-75</v>
      </c>
      <c r="P3717" t="n">
        <v>0.01141</v>
      </c>
      <c r="Q3717" t="n">
        <v>55</v>
      </c>
      <c r="R3717" t="n">
        <v>0.08400000000000001</v>
      </c>
      <c r="S3717">
        <f>IMAGE("https://mitra.stanford.edu/kundaje/oak/projects/neuro-variants/variant_position/credible/roussos_2024/variant_figures/roussos_2024.childhood.Astrocyte/rs6963266_count_position.png",4,220,900)</f>
        <v/>
      </c>
      <c r="T3717">
        <f>IMAGE("https://mitra.stanford.edu/kundaje/oak/projects/neuro-variants/variant_position/credible/roussos_2024/variant_figures/roussos_2024.childhood.Astrocyte/rs6963266_profile_position.png",4,220,900)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0.206929852</v>
      </c>
      <c r="G3718" t="n">
        <v>0.0150765906145166</v>
      </c>
      <c r="H3718" t="n">
        <v>0.0264426777005645</v>
      </c>
      <c r="I3718" t="n">
        <v>0.0533731436290045</v>
      </c>
      <c r="J3718" t="n">
        <v>0.3845755764695106</v>
      </c>
      <c r="K3718" t="n">
        <v>0.08926573226020321</v>
      </c>
      <c r="L3718" t="b">
        <v>1</v>
      </c>
      <c r="M3718" t="b">
        <v>0</v>
      </c>
      <c r="N3718" t="inlineStr">
        <is>
          <t>alt</t>
        </is>
      </c>
      <c r="O3718" t="n">
        <v>15</v>
      </c>
      <c r="P3718" t="n">
        <v>0.00409</v>
      </c>
      <c r="Q3718" t="n">
        <v>15</v>
      </c>
      <c r="R3718" t="n">
        <v>0.009766</v>
      </c>
      <c r="S3718">
        <f>IMAGE("https://mitra.stanford.edu/kundaje/oak/projects/neuro-variants/variant_position/credible/roussos_2024/variant_figures/roussos_2024.childhood.Astrocyte/rs6467913_count_position.png",4,220,900)</f>
        <v/>
      </c>
      <c r="T3718">
        <f>IMAGE("https://mitra.stanford.edu/kundaje/oak/projects/neuro-variants/variant_position/credible/roussos_2024/variant_figures/roussos_2024.childhood.Astrocyte/rs6467913_profile_position.png",4,220,900)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0.0173726164</v>
      </c>
      <c r="G3719" t="n">
        <v>0.5569125825022682</v>
      </c>
      <c r="H3719" t="n">
        <v>0.0298680663273575</v>
      </c>
      <c r="I3719" t="n">
        <v>0.030242732631536</v>
      </c>
      <c r="J3719" t="n">
        <v>0.1385908268645096</v>
      </c>
      <c r="K3719" t="n">
        <v>0.2642044389182357</v>
      </c>
      <c r="L3719" t="b">
        <v>0</v>
      </c>
      <c r="M3719" t="b">
        <v>0</v>
      </c>
      <c r="N3719" t="inlineStr">
        <is>
          <t>alt</t>
        </is>
      </c>
      <c r="O3719" t="n">
        <v>-5</v>
      </c>
      <c r="P3719" t="n">
        <v>0.000372</v>
      </c>
      <c r="Q3719" t="n">
        <v>0</v>
      </c>
      <c r="R3719" t="n">
        <v>0</v>
      </c>
      <c r="S3719">
        <f>IMAGE("https://mitra.stanford.edu/kundaje/oak/projects/neuro-variants/variant_position/credible/roussos_2024/variant_figures/roussos_2024.childhood.Astrocyte/rs13235048_count_position.png",4,220,900)</f>
        <v/>
      </c>
      <c r="T3719">
        <f>IMAGE("https://mitra.stanford.edu/kundaje/oak/projects/neuro-variants/variant_position/credible/roussos_2024/variant_figures/roussos_2024.childhood.Astrocyte/rs13235048_profile_position.png",4,220,900)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-0.0305196478</v>
      </c>
      <c r="G3720" t="n">
        <v>0.3933068829946497</v>
      </c>
      <c r="H3720" t="n">
        <v>0.0301744472802443</v>
      </c>
      <c r="I3720" t="n">
        <v>0.029153155526385</v>
      </c>
      <c r="J3720" t="n">
        <v>0.296827032431896</v>
      </c>
      <c r="K3720" t="n">
        <v>0.1329523100489688</v>
      </c>
      <c r="L3720" t="b">
        <v>0</v>
      </c>
      <c r="M3720" t="b">
        <v>0</v>
      </c>
      <c r="N3720" t="inlineStr">
        <is>
          <t>ref</t>
        </is>
      </c>
      <c r="O3720" t="n">
        <v>-5</v>
      </c>
      <c r="P3720" t="n">
        <v>0.0001221</v>
      </c>
      <c r="Q3720" t="n">
        <v>-20</v>
      </c>
      <c r="R3720" t="n">
        <v>0.07324</v>
      </c>
      <c r="S3720">
        <f>IMAGE("https://mitra.stanford.edu/kundaje/oak/projects/neuro-variants/variant_position/credible/roussos_2024/variant_figures/roussos_2024.childhood.Astrocyte/rs17284668_count_position.png",4,220,900)</f>
        <v/>
      </c>
      <c r="T3720">
        <f>IMAGE("https://mitra.stanford.edu/kundaje/oak/projects/neuro-variants/variant_position/credible/roussos_2024/variant_figures/roussos_2024.childhood.Astrocyte/rs17284668_profile_position.png",4,220,900)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0.02989445494</v>
      </c>
      <c r="G3721" t="n">
        <v>0.4166863418503053</v>
      </c>
      <c r="H3721" t="n">
        <v>0.025029629112147</v>
      </c>
      <c r="I3721" t="n">
        <v>0.0582473468807112</v>
      </c>
      <c r="J3721" t="n">
        <v>0.0131078595253905</v>
      </c>
      <c r="K3721" t="n">
        <v>0.6541301181021102</v>
      </c>
      <c r="L3721" t="b">
        <v>0</v>
      </c>
      <c r="M3721" t="b">
        <v>0</v>
      </c>
      <c r="N3721" t="inlineStr">
        <is>
          <t>alt</t>
        </is>
      </c>
      <c r="O3721" t="n">
        <v>75</v>
      </c>
      <c r="P3721" t="n">
        <v>0.01326</v>
      </c>
      <c r="Q3721" t="n">
        <v>75</v>
      </c>
      <c r="R3721" t="n">
        <v>0.2346</v>
      </c>
      <c r="S3721">
        <f>IMAGE("https://mitra.stanford.edu/kundaje/oak/projects/neuro-variants/variant_position/credible/roussos_2024/variant_figures/roussos_2024.childhood.Astrocyte/rs2189246_count_position.png",4,220,900)</f>
        <v/>
      </c>
      <c r="T3721">
        <f>IMAGE("https://mitra.stanford.edu/kundaje/oak/projects/neuro-variants/variant_position/credible/roussos_2024/variant_figures/roussos_2024.childhood.Astrocyte/rs2189246_profile_position.png",4,220,900)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0.00506512446</v>
      </c>
      <c r="G3722" t="n">
        <v>0.7603027299688739</v>
      </c>
      <c r="H3722" t="n">
        <v>0.021522849986506</v>
      </c>
      <c r="I3722" t="n">
        <v>0.0979317488505161</v>
      </c>
      <c r="J3722" t="n">
        <v>0.130090143726195</v>
      </c>
      <c r="K3722" t="n">
        <v>0.2779341646211891</v>
      </c>
      <c r="L3722" t="b">
        <v>0</v>
      </c>
      <c r="M3722" t="b">
        <v>0</v>
      </c>
      <c r="N3722" t="inlineStr">
        <is>
          <t>alt</t>
        </is>
      </c>
      <c r="O3722" t="n">
        <v>75</v>
      </c>
      <c r="P3722" t="n">
        <v>0.01251</v>
      </c>
      <c r="Q3722" t="n">
        <v>100</v>
      </c>
      <c r="R3722" t="n">
        <v>0.1958</v>
      </c>
      <c r="S3722">
        <f>IMAGE("https://mitra.stanford.edu/kundaje/oak/projects/neuro-variants/variant_position/credible/roussos_2024/variant_figures/roussos_2024.childhood.Astrocyte/rs2189247_count_position.png",4,220,900)</f>
        <v/>
      </c>
      <c r="T3722">
        <f>IMAGE("https://mitra.stanford.edu/kundaje/oak/projects/neuro-variants/variant_position/credible/roussos_2024/variant_figures/roussos_2024.childhood.Astrocyte/rs2189247_profile_position.png",4,220,900)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-0.00445438262</v>
      </c>
      <c r="G3723" t="n">
        <v>0.804232303770465</v>
      </c>
      <c r="H3723" t="n">
        <v>0.0251023435315618</v>
      </c>
      <c r="I3723" t="n">
        <v>0.0572444943200058</v>
      </c>
      <c r="J3723" t="n">
        <v>0.0182600199980154</v>
      </c>
      <c r="K3723" t="n">
        <v>0.604799281850789</v>
      </c>
      <c r="L3723" t="b">
        <v>0</v>
      </c>
      <c r="M3723" t="b">
        <v>0</v>
      </c>
      <c r="N3723" t="inlineStr">
        <is>
          <t>ref</t>
        </is>
      </c>
      <c r="O3723" t="n">
        <v>-15</v>
      </c>
      <c r="P3723" t="n">
        <v>0.0005493</v>
      </c>
      <c r="Q3723" t="n">
        <v>-85</v>
      </c>
      <c r="R3723" t="n">
        <v>0.0688</v>
      </c>
      <c r="S3723">
        <f>IMAGE("https://mitra.stanford.edu/kundaje/oak/projects/neuro-variants/variant_position/credible/roussos_2024/variant_figures/roussos_2024.childhood.Astrocyte/rs2715148_count_position.png",4,220,900)</f>
        <v/>
      </c>
      <c r="T3723">
        <f>IMAGE("https://mitra.stanford.edu/kundaje/oak/projects/neuro-variants/variant_position/credible/roussos_2024/variant_figures/roussos_2024.childhood.Astrocyte/rs2715148_profile_position.png",4,220,900)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-0.0275156152</v>
      </c>
      <c r="G3724" t="n">
        <v>0.4194192114224374</v>
      </c>
      <c r="H3724" t="n">
        <v>0.0365401791701141</v>
      </c>
      <c r="I3724" t="n">
        <v>0.013822053354726</v>
      </c>
      <c r="J3724" t="n">
        <v>0.0004007235923152</v>
      </c>
      <c r="K3724" t="n">
        <v>0.9443835247024264</v>
      </c>
      <c r="L3724" t="b">
        <v>0</v>
      </c>
      <c r="M3724" t="b">
        <v>0</v>
      </c>
      <c r="N3724" t="inlineStr">
        <is>
          <t>ref</t>
        </is>
      </c>
      <c r="O3724" t="n">
        <v>-60</v>
      </c>
      <c r="P3724" t="n">
        <v>0.00702</v>
      </c>
      <c r="Q3724" t="n">
        <v>-45</v>
      </c>
      <c r="R3724" t="n">
        <v>0.099</v>
      </c>
      <c r="S3724">
        <f>IMAGE("https://mitra.stanford.edu/kundaje/oak/projects/neuro-variants/variant_position/credible/roussos_2024/variant_figures/roussos_2024.childhood.Astrocyte/rs2522839_count_position.png",4,220,900)</f>
        <v/>
      </c>
      <c r="T3724">
        <f>IMAGE("https://mitra.stanford.edu/kundaje/oak/projects/neuro-variants/variant_position/credible/roussos_2024/variant_figures/roussos_2024.childhood.Astrocyte/rs2522839_profile_position.png",4,220,900)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0.01088382366</v>
      </c>
      <c r="G3725" t="n">
        <v>0.6933299554944644</v>
      </c>
      <c r="H3725" t="n">
        <v>0.0357811701679489</v>
      </c>
      <c r="I3725" t="n">
        <v>0.015189456849967</v>
      </c>
      <c r="J3725" t="n">
        <v>0.0002366177402242</v>
      </c>
      <c r="K3725" t="n">
        <v>0.9707074640814752</v>
      </c>
      <c r="L3725" t="b">
        <v>0</v>
      </c>
      <c r="M3725" t="b">
        <v>0</v>
      </c>
      <c r="N3725" t="inlineStr">
        <is>
          <t>alt</t>
        </is>
      </c>
      <c r="O3725" t="n">
        <v>-90</v>
      </c>
      <c r="P3725" t="n">
        <v>0.01422</v>
      </c>
      <c r="Q3725" t="n">
        <v>40</v>
      </c>
      <c r="R3725" t="n">
        <v>0.09375</v>
      </c>
      <c r="S3725">
        <f>IMAGE("https://mitra.stanford.edu/kundaje/oak/projects/neuro-variants/variant_position/credible/roussos_2024/variant_figures/roussos_2024.childhood.Astrocyte/rs2107069_count_position.png",4,220,900)</f>
        <v/>
      </c>
      <c r="T3725">
        <f>IMAGE("https://mitra.stanford.edu/kundaje/oak/projects/neuro-variants/variant_position/credible/roussos_2024/variant_figures/roussos_2024.childhood.Astrocyte/rs2107069_profile_position.png",4,220,900)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0.0578416365999999</v>
      </c>
      <c r="G3726" t="n">
        <v>0.1886870037316408</v>
      </c>
      <c r="H3726" t="n">
        <v>0.0131703244832354</v>
      </c>
      <c r="I3726" t="n">
        <v>0.4152283989776336</v>
      </c>
      <c r="J3726" t="n">
        <v>0.0395113462022852</v>
      </c>
      <c r="K3726" t="n">
        <v>0.4818900315759958</v>
      </c>
      <c r="L3726" t="b">
        <v>0</v>
      </c>
      <c r="M3726" t="b">
        <v>0</v>
      </c>
      <c r="N3726" t="inlineStr">
        <is>
          <t>alt</t>
        </is>
      </c>
      <c r="O3726" t="n">
        <v>55</v>
      </c>
      <c r="P3726" t="n">
        <v>0.00598</v>
      </c>
      <c r="Q3726" t="n">
        <v>0</v>
      </c>
      <c r="R3726" t="n">
        <v>0</v>
      </c>
      <c r="S3726">
        <f>IMAGE("https://mitra.stanford.edu/kundaje/oak/projects/neuro-variants/variant_position/credible/roussos_2024/variant_figures/roussos_2024.childhood.Astrocyte/rs1986742_count_position.png",4,220,900)</f>
        <v/>
      </c>
      <c r="T3726">
        <f>IMAGE("https://mitra.stanford.edu/kundaje/oak/projects/neuro-variants/variant_position/credible/roussos_2024/variant_figures/roussos_2024.childhood.Astrocyte/rs1986742_profile_position.png",4,220,900)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-0.042001681</v>
      </c>
      <c r="G3727" t="n">
        <v>0.2736450856144699</v>
      </c>
      <c r="H3727" t="n">
        <v>0.0543618740113484</v>
      </c>
      <c r="I3727" t="n">
        <v>0.0030172571179179</v>
      </c>
      <c r="J3727" t="n">
        <v>0.0054040438735087</v>
      </c>
      <c r="K3727" t="n">
        <v>0.7655510094670528</v>
      </c>
      <c r="L3727" t="b">
        <v>0</v>
      </c>
      <c r="M3727" t="b">
        <v>0</v>
      </c>
      <c r="N3727" t="inlineStr">
        <is>
          <t>ref</t>
        </is>
      </c>
      <c r="O3727" t="n">
        <v>-100</v>
      </c>
      <c r="P3727" t="n">
        <v>0.05627</v>
      </c>
      <c r="Q3727" t="n">
        <v>35</v>
      </c>
      <c r="R3727" t="n">
        <v>0.02136</v>
      </c>
      <c r="S3727">
        <f>IMAGE("https://mitra.stanford.edu/kundaje/oak/projects/neuro-variants/variant_position/credible/roussos_2024/variant_figures/roussos_2024.childhood.Astrocyte/rs11761974_count_position.png",4,220,900)</f>
        <v/>
      </c>
      <c r="T3727">
        <f>IMAGE("https://mitra.stanford.edu/kundaje/oak/projects/neuro-variants/variant_position/credible/roussos_2024/variant_figures/roussos_2024.childhood.Astrocyte/rs11761974_profile_position.png",4,220,900)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0.01356062826</v>
      </c>
      <c r="G3728" t="n">
        <v>0.6002763797457822</v>
      </c>
      <c r="H3728" t="n">
        <v>0.0196736264628632</v>
      </c>
      <c r="I3728" t="n">
        <v>0.1337038573196571</v>
      </c>
      <c r="J3728" t="n">
        <v>0.0047865478998266</v>
      </c>
      <c r="K3728" t="n">
        <v>0.7770997186444509</v>
      </c>
      <c r="L3728" t="b">
        <v>0</v>
      </c>
      <c r="M3728" t="b">
        <v>0</v>
      </c>
      <c r="N3728" t="inlineStr">
        <is>
          <t>alt</t>
        </is>
      </c>
      <c r="O3728" t="n">
        <v>-10</v>
      </c>
      <c r="P3728" t="n">
        <v>0.0003242</v>
      </c>
      <c r="Q3728" t="n">
        <v>75</v>
      </c>
      <c r="R3728" t="n">
        <v>0.0809</v>
      </c>
      <c r="S3728">
        <f>IMAGE("https://mitra.stanford.edu/kundaje/oak/projects/neuro-variants/variant_position/credible/roussos_2024/variant_figures/roussos_2024.childhood.Astrocyte/rs62458571_count_position.png",4,220,900)</f>
        <v/>
      </c>
      <c r="T3728">
        <f>IMAGE("https://mitra.stanford.edu/kundaje/oak/projects/neuro-variants/variant_position/credible/roussos_2024/variant_figures/roussos_2024.childhood.Astrocyte/rs62458571_profile_position.png",4,220,900)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-0.0677431294</v>
      </c>
      <c r="G3729" t="n">
        <v>0.1579131352772683</v>
      </c>
      <c r="H3729" t="n">
        <v>0.0263087496224809</v>
      </c>
      <c r="I3729" t="n">
        <v>0.0483086386278621</v>
      </c>
      <c r="J3729" t="n">
        <v>0.009372352361979201</v>
      </c>
      <c r="K3729" t="n">
        <v>0.6982176296237854</v>
      </c>
      <c r="L3729" t="b">
        <v>0</v>
      </c>
      <c r="M3729" t="b">
        <v>0</v>
      </c>
      <c r="N3729" t="inlineStr">
        <is>
          <t>ref</t>
        </is>
      </c>
      <c r="O3729" t="n">
        <v>-35</v>
      </c>
      <c r="P3729" t="n">
        <v>0.006805</v>
      </c>
      <c r="Q3729" t="n">
        <v>-95</v>
      </c>
      <c r="R3729" t="n">
        <v>0.1223</v>
      </c>
      <c r="S3729">
        <f>IMAGE("https://mitra.stanford.edu/kundaje/oak/projects/neuro-variants/variant_position/credible/roussos_2024/variant_figures/roussos_2024.childhood.Astrocyte/rs13244678_count_position.png",4,220,900)</f>
        <v/>
      </c>
      <c r="T3729">
        <f>IMAGE("https://mitra.stanford.edu/kundaje/oak/projects/neuro-variants/variant_position/credible/roussos_2024/variant_figures/roussos_2024.childhood.Astrocyte/rs13244678_profile_position.png",4,220,900)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-0.059324014</v>
      </c>
      <c r="G3730" t="n">
        <v>0.1701616833694984</v>
      </c>
      <c r="H3730" t="n">
        <v>0.0150287999249104</v>
      </c>
      <c r="I3730" t="n">
        <v>0.3002730281221342</v>
      </c>
      <c r="J3730" t="n">
        <v>0.009798264294382899</v>
      </c>
      <c r="K3730" t="n">
        <v>0.6890528372517546</v>
      </c>
      <c r="L3730" t="b">
        <v>0</v>
      </c>
      <c r="M3730" t="b">
        <v>0</v>
      </c>
      <c r="N3730" t="inlineStr">
        <is>
          <t>ref</t>
        </is>
      </c>
      <c r="O3730" t="n">
        <v>-100</v>
      </c>
      <c r="P3730" t="n">
        <v>0.01116</v>
      </c>
      <c r="Q3730" t="n">
        <v>-5</v>
      </c>
      <c r="R3730" t="n">
        <v>0.007324</v>
      </c>
      <c r="S3730">
        <f>IMAGE("https://mitra.stanford.edu/kundaje/oak/projects/neuro-variants/variant_position/credible/roussos_2024/variant_figures/roussos_2024.childhood.Astrocyte/rs13231757_count_position.png",4,220,900)</f>
        <v/>
      </c>
      <c r="T3730">
        <f>IMAGE("https://mitra.stanford.edu/kundaje/oak/projects/neuro-variants/variant_position/credible/roussos_2024/variant_figures/roussos_2024.childhood.Astrocyte/rs13231757_profile_position.png",4,220,900)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-0.00233642446</v>
      </c>
      <c r="G3731" t="n">
        <v>0.8175329273527862</v>
      </c>
      <c r="H3731" t="n">
        <v>0.016406036953998</v>
      </c>
      <c r="I3731" t="n">
        <v>0.2337304757590365</v>
      </c>
      <c r="J3731" t="n">
        <v>0.0082129254348804</v>
      </c>
      <c r="K3731" t="n">
        <v>0.7242319086911393</v>
      </c>
      <c r="L3731" t="b">
        <v>0</v>
      </c>
      <c r="M3731" t="b">
        <v>0</v>
      </c>
      <c r="N3731" t="inlineStr">
        <is>
          <t>ref</t>
        </is>
      </c>
      <c r="O3731" t="n">
        <v>100</v>
      </c>
      <c r="P3731" t="n">
        <v>0.0174</v>
      </c>
      <c r="Q3731" t="n">
        <v>-100</v>
      </c>
      <c r="R3731" t="n">
        <v>0.1385</v>
      </c>
      <c r="S3731">
        <f>IMAGE("https://mitra.stanford.edu/kundaje/oak/projects/neuro-variants/variant_position/credible/roussos_2024/variant_figures/roussos_2024.childhood.Astrocyte/rs117773249_count_position.png",4,220,900)</f>
        <v/>
      </c>
      <c r="T3731">
        <f>IMAGE("https://mitra.stanford.edu/kundaje/oak/projects/neuro-variants/variant_position/credible/roussos_2024/variant_figures/roussos_2024.childhood.Astrocyte/rs117773249_profile_position.png",4,220,900)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0.003599609</v>
      </c>
      <c r="G3732" t="n">
        <v>0.6759684572480225</v>
      </c>
      <c r="H3732" t="n">
        <v>0.0145919181126177</v>
      </c>
      <c r="I3732" t="n">
        <v>0.3198956465779241</v>
      </c>
      <c r="J3732" t="n">
        <v>0.013542167571157</v>
      </c>
      <c r="K3732" t="n">
        <v>0.6557344691334115</v>
      </c>
      <c r="L3732" t="b">
        <v>0</v>
      </c>
      <c r="M3732" t="b">
        <v>0</v>
      </c>
      <c r="N3732" t="inlineStr">
        <is>
          <t>alt</t>
        </is>
      </c>
      <c r="O3732" t="n">
        <v>30</v>
      </c>
      <c r="P3732" t="n">
        <v>0.002747</v>
      </c>
      <c r="Q3732" t="n">
        <v>100</v>
      </c>
      <c r="R3732" t="n">
        <v>0.3132</v>
      </c>
      <c r="S3732">
        <f>IMAGE("https://mitra.stanford.edu/kundaje/oak/projects/neuro-variants/variant_position/credible/roussos_2024/variant_figures/roussos_2024.childhood.Astrocyte/rs1858923_count_position.png",4,220,900)</f>
        <v/>
      </c>
      <c r="T3732">
        <f>IMAGE("https://mitra.stanford.edu/kundaje/oak/projects/neuro-variants/variant_position/credible/roussos_2024/variant_figures/roussos_2024.childhood.Astrocyte/rs1858923_profile_position.png",4,220,900)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0.040620308</v>
      </c>
      <c r="G3733" t="n">
        <v>0.272266345122546</v>
      </c>
      <c r="H3733" t="n">
        <v>0.011995626325886</v>
      </c>
      <c r="I3733" t="n">
        <v>0.5180559182133302</v>
      </c>
      <c r="J3733" t="n">
        <v>0.1244578782258248</v>
      </c>
      <c r="K3733" t="n">
        <v>0.2864522854325446</v>
      </c>
      <c r="L3733" t="b">
        <v>0</v>
      </c>
      <c r="M3733" t="b">
        <v>0</v>
      </c>
      <c r="N3733" t="inlineStr">
        <is>
          <t>alt</t>
        </is>
      </c>
      <c r="O3733" t="n">
        <v>-95</v>
      </c>
      <c r="P3733" t="n">
        <v>0.003006</v>
      </c>
      <c r="Q3733" t="n">
        <v>100</v>
      </c>
      <c r="R3733" t="n">
        <v>0.2417</v>
      </c>
      <c r="S3733">
        <f>IMAGE("https://mitra.stanford.edu/kundaje/oak/projects/neuro-variants/variant_position/credible/roussos_2024/variant_figures/roussos_2024.childhood.Astrocyte/rs28656907_count_position.png",4,220,900)</f>
        <v/>
      </c>
      <c r="T3733">
        <f>IMAGE("https://mitra.stanford.edu/kundaje/oak/projects/neuro-variants/variant_position/credible/roussos_2024/variant_figures/roussos_2024.childhood.Astrocyte/rs28656907_profile_position.png",4,220,900)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-0.033856526</v>
      </c>
      <c r="G3734" t="n">
        <v>0.3442757533261374</v>
      </c>
      <c r="H3734" t="n">
        <v>0.010845536640042</v>
      </c>
      <c r="I3734" t="n">
        <v>0.6248146659917342</v>
      </c>
      <c r="J3734" t="n">
        <v>0.0006182592567149</v>
      </c>
      <c r="K3734" t="n">
        <v>0.9354198288468016</v>
      </c>
      <c r="L3734" t="b">
        <v>0</v>
      </c>
      <c r="M3734" t="b">
        <v>0</v>
      </c>
      <c r="N3734" t="inlineStr">
        <is>
          <t>ref</t>
        </is>
      </c>
      <c r="O3734" t="n">
        <v>25</v>
      </c>
      <c r="P3734" t="n">
        <v>0.0004349</v>
      </c>
      <c r="Q3734" t="n">
        <v>5</v>
      </c>
      <c r="R3734" t="n">
        <v>0.014244</v>
      </c>
      <c r="S3734">
        <f>IMAGE("https://mitra.stanford.edu/kundaje/oak/projects/neuro-variants/variant_position/credible/roussos_2024/variant_figures/roussos_2024.childhood.Astrocyte/rs12704370_count_position.png",4,220,900)</f>
        <v/>
      </c>
      <c r="T3734">
        <f>IMAGE("https://mitra.stanford.edu/kundaje/oak/projects/neuro-variants/variant_position/credible/roussos_2024/variant_figures/roussos_2024.childhood.Astrocyte/rs12704370_profile_position.png",4,220,900)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0.001439164336</v>
      </c>
      <c r="G3735" t="n">
        <v>0.9013424535570544</v>
      </c>
      <c r="H3735" t="n">
        <v>0.0269185321147071</v>
      </c>
      <c r="I3735" t="n">
        <v>0.0458131083486834</v>
      </c>
      <c r="J3735" t="n">
        <v>0.0303282880324853</v>
      </c>
      <c r="K3735" t="n">
        <v>0.5253804987043155</v>
      </c>
      <c r="L3735" t="b">
        <v>0</v>
      </c>
      <c r="M3735" t="b">
        <v>0</v>
      </c>
      <c r="N3735" t="inlineStr">
        <is>
          <t>alt</t>
        </is>
      </c>
      <c r="O3735" t="n">
        <v>85</v>
      </c>
      <c r="P3735" t="n">
        <v>0.0992</v>
      </c>
      <c r="Q3735" t="n">
        <v>95</v>
      </c>
      <c r="R3735" t="n">
        <v>0.2037</v>
      </c>
      <c r="S3735">
        <f>IMAGE("https://mitra.stanford.edu/kundaje/oak/projects/neuro-variants/variant_position/credible/roussos_2024/variant_figures/roussos_2024.childhood.Astrocyte/rs77491588_count_position.png",4,220,900)</f>
        <v/>
      </c>
      <c r="T3735">
        <f>IMAGE("https://mitra.stanford.edu/kundaje/oak/projects/neuro-variants/variant_position/credible/roussos_2024/variant_figures/roussos_2024.childhood.Astrocyte/rs77491588_profile_position.png",4,220,900)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0.0292262597999999</v>
      </c>
      <c r="G3736" t="n">
        <v>0.4025576042035586</v>
      </c>
      <c r="H3736" t="n">
        <v>0.0322380263659823</v>
      </c>
      <c r="I3736" t="n">
        <v>0.0223891924608189</v>
      </c>
      <c r="J3736" t="n">
        <v>0.004071351697923</v>
      </c>
      <c r="K3736" t="n">
        <v>0.8097460685602619</v>
      </c>
      <c r="L3736" t="b">
        <v>0</v>
      </c>
      <c r="M3736" t="b">
        <v>0</v>
      </c>
      <c r="N3736" t="inlineStr">
        <is>
          <t>alt</t>
        </is>
      </c>
      <c r="O3736" t="n">
        <v>95</v>
      </c>
      <c r="P3736" t="n">
        <v>0.0004659</v>
      </c>
      <c r="Q3736" t="n">
        <v>80</v>
      </c>
      <c r="R3736" t="n">
        <v>0.1079</v>
      </c>
      <c r="S3736">
        <f>IMAGE("https://mitra.stanford.edu/kundaje/oak/projects/neuro-variants/variant_position/credible/roussos_2024/variant_figures/roussos_2024.childhood.Astrocyte/rs79065506_count_position.png",4,220,900)</f>
        <v/>
      </c>
      <c r="T3736">
        <f>IMAGE("https://mitra.stanford.edu/kundaje/oak/projects/neuro-variants/variant_position/credible/roussos_2024/variant_figures/roussos_2024.childhood.Astrocyte/rs79065506_profile_position.png",4,220,900)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0.0387243272</v>
      </c>
      <c r="G3737" t="n">
        <v>0.3167293940164574</v>
      </c>
      <c r="H3737" t="n">
        <v>0.0386701090900089</v>
      </c>
      <c r="I3737" t="n">
        <v>0.0110703009454216</v>
      </c>
      <c r="J3737" t="n">
        <v>0.0040339508293069</v>
      </c>
      <c r="K3737" t="n">
        <v>0.8110933978724804</v>
      </c>
      <c r="L3737" t="b">
        <v>0</v>
      </c>
      <c r="M3737" t="b">
        <v>0</v>
      </c>
      <c r="N3737" t="inlineStr">
        <is>
          <t>alt</t>
        </is>
      </c>
      <c r="O3737" t="n">
        <v>-60</v>
      </c>
      <c r="P3737" t="n">
        <v>0.001377</v>
      </c>
      <c r="Q3737" t="n">
        <v>75</v>
      </c>
      <c r="R3737" t="n">
        <v>0.1294</v>
      </c>
      <c r="S3737">
        <f>IMAGE("https://mitra.stanford.edu/kundaje/oak/projects/neuro-variants/variant_position/credible/roussos_2024/variant_figures/roussos_2024.childhood.Astrocyte/rs78742611_count_position.png",4,220,900)</f>
        <v/>
      </c>
      <c r="T3737">
        <f>IMAGE("https://mitra.stanford.edu/kundaje/oak/projects/neuro-variants/variant_position/credible/roussos_2024/variant_figures/roussos_2024.childhood.Astrocyte/rs78742611_profile_position.png",4,220,900)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0.004594257068</v>
      </c>
      <c r="G3738" t="n">
        <v>0.8459494210382914</v>
      </c>
      <c r="H3738" t="n">
        <v>0.0475341439040893</v>
      </c>
      <c r="I3738" t="n">
        <v>0.0049052745294136</v>
      </c>
      <c r="J3738" t="n">
        <v>9.159396395776629e-05</v>
      </c>
      <c r="K3738" t="n">
        <v>0.9857713712150548</v>
      </c>
      <c r="L3738" t="b">
        <v>0</v>
      </c>
      <c r="M3738" t="b">
        <v>0</v>
      </c>
      <c r="N3738" t="inlineStr">
        <is>
          <t>alt</t>
        </is>
      </c>
      <c r="O3738" t="n">
        <v>60</v>
      </c>
      <c r="P3738" t="n">
        <v>0.006714</v>
      </c>
      <c r="Q3738" t="n">
        <v>0</v>
      </c>
      <c r="R3738" t="n">
        <v>0</v>
      </c>
      <c r="S3738">
        <f>IMAGE("https://mitra.stanford.edu/kundaje/oak/projects/neuro-variants/variant_position/credible/roussos_2024/variant_figures/roussos_2024.childhood.Astrocyte/rs6979891_count_position.png",4,220,900)</f>
        <v/>
      </c>
      <c r="T3738">
        <f>IMAGE("https://mitra.stanford.edu/kundaje/oak/projects/neuro-variants/variant_position/credible/roussos_2024/variant_figures/roussos_2024.childhood.Astrocyte/rs6979891_profile_position.png",4,220,900)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0.0106722544</v>
      </c>
      <c r="G3739" t="n">
        <v>0.6952069613962859</v>
      </c>
      <c r="H3739" t="n">
        <v>0.0239630943926201</v>
      </c>
      <c r="I3739" t="n">
        <v>0.07139758635106599</v>
      </c>
      <c r="J3739" t="n">
        <v>0.0015280926320288</v>
      </c>
      <c r="K3739" t="n">
        <v>0.8800878339514621</v>
      </c>
      <c r="L3739" t="b">
        <v>0</v>
      </c>
      <c r="M3739" t="b">
        <v>0</v>
      </c>
      <c r="N3739" t="inlineStr">
        <is>
          <t>alt</t>
        </is>
      </c>
      <c r="O3739" t="n">
        <v>-40</v>
      </c>
      <c r="P3739" t="n">
        <v>0.002258</v>
      </c>
      <c r="Q3739" t="n">
        <v>95</v>
      </c>
      <c r="R3739" t="n">
        <v>0.06854</v>
      </c>
      <c r="S3739">
        <f>IMAGE("https://mitra.stanford.edu/kundaje/oak/projects/neuro-variants/variant_position/credible/roussos_2024/variant_figures/roussos_2024.childhood.Astrocyte/rs883176_count_position.png",4,220,900)</f>
        <v/>
      </c>
      <c r="T3739">
        <f>IMAGE("https://mitra.stanford.edu/kundaje/oak/projects/neuro-variants/variant_position/credible/roussos_2024/variant_figures/roussos_2024.childhood.Astrocyte/rs883176_profile_position.png",4,220,900)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0.01367044986</v>
      </c>
      <c r="G3740" t="n">
        <v>0.59465316354306</v>
      </c>
      <c r="H3740" t="n">
        <v>0.0316550234562282</v>
      </c>
      <c r="I3740" t="n">
        <v>0.0241349276555244</v>
      </c>
      <c r="J3740" t="n">
        <v>0.0344034561455732</v>
      </c>
      <c r="K3740" t="n">
        <v>0.5103044956980641</v>
      </c>
      <c r="L3740" t="b">
        <v>0</v>
      </c>
      <c r="M3740" t="b">
        <v>0</v>
      </c>
      <c r="N3740" t="inlineStr">
        <is>
          <t>alt</t>
        </is>
      </c>
      <c r="O3740" t="n">
        <v>30</v>
      </c>
      <c r="P3740" t="n">
        <v>0.0029</v>
      </c>
      <c r="Q3740" t="n">
        <v>0</v>
      </c>
      <c r="R3740" t="n">
        <v>0</v>
      </c>
      <c r="S3740">
        <f>IMAGE("https://mitra.stanford.edu/kundaje/oak/projects/neuro-variants/variant_position/credible/roussos_2024/variant_figures/roussos_2024.childhood.Astrocyte/rs17166402_count_position.png",4,220,900)</f>
        <v/>
      </c>
      <c r="T3740">
        <f>IMAGE("https://mitra.stanford.edu/kundaje/oak/projects/neuro-variants/variant_position/credible/roussos_2024/variant_figures/roussos_2024.childhood.Astrocyte/rs17166402_profile_position.png",4,220,900)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0.0236714116</v>
      </c>
      <c r="G3741" t="n">
        <v>0.463022210161972</v>
      </c>
      <c r="H3741" t="n">
        <v>0.0227895953481766</v>
      </c>
      <c r="I3741" t="n">
        <v>0.0837821966139249</v>
      </c>
      <c r="J3741" t="n">
        <v>0.0355544869593093</v>
      </c>
      <c r="K3741" t="n">
        <v>0.5071776306878075</v>
      </c>
      <c r="L3741" t="b">
        <v>0</v>
      </c>
      <c r="M3741" t="b">
        <v>0</v>
      </c>
      <c r="N3741" t="inlineStr">
        <is>
          <t>alt</t>
        </is>
      </c>
      <c r="O3741" t="n">
        <v>-55</v>
      </c>
      <c r="P3741" t="n">
        <v>0.0004578</v>
      </c>
      <c r="Q3741" t="n">
        <v>-20</v>
      </c>
      <c r="R3741" t="n">
        <v>0.0733</v>
      </c>
      <c r="S3741">
        <f>IMAGE("https://mitra.stanford.edu/kundaje/oak/projects/neuro-variants/variant_position/credible/roussos_2024/variant_figures/roussos_2024.childhood.Astrocyte/rs17166404_count_position.png",4,220,900)</f>
        <v/>
      </c>
      <c r="T3741">
        <f>IMAGE("https://mitra.stanford.edu/kundaje/oak/projects/neuro-variants/variant_position/credible/roussos_2024/variant_figures/roussos_2024.childhood.Astrocyte/rs17166404_profile_position.png",4,220,900)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0.00280205518</v>
      </c>
      <c r="G3742" t="n">
        <v>0.8161987092802805</v>
      </c>
      <c r="H3742" t="n">
        <v>0.0177664741701037</v>
      </c>
      <c r="I3742" t="n">
        <v>0.1816595851647158</v>
      </c>
      <c r="J3742" t="n">
        <v>0.0396762153374092</v>
      </c>
      <c r="K3742" t="n">
        <v>0.4896827579302675</v>
      </c>
      <c r="L3742" t="b">
        <v>0</v>
      </c>
      <c r="M3742" t="b">
        <v>0</v>
      </c>
      <c r="N3742" t="inlineStr">
        <is>
          <t>alt</t>
        </is>
      </c>
      <c r="O3742" t="n">
        <v>80</v>
      </c>
      <c r="P3742" t="n">
        <v>0.01099</v>
      </c>
      <c r="Q3742" t="n">
        <v>100</v>
      </c>
      <c r="R3742" t="n">
        <v>0.1407</v>
      </c>
      <c r="S3742">
        <f>IMAGE("https://mitra.stanford.edu/kundaje/oak/projects/neuro-variants/variant_position/credible/roussos_2024/variant_figures/roussos_2024.childhood.Astrocyte/rs17166406_count_position.png",4,220,900)</f>
        <v/>
      </c>
      <c r="T3742">
        <f>IMAGE("https://mitra.stanford.edu/kundaje/oak/projects/neuro-variants/variant_position/credible/roussos_2024/variant_figures/roussos_2024.childhood.Astrocyte/rs17166406_profile_position.png",4,220,900)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0.0357512204</v>
      </c>
      <c r="G3743" t="n">
        <v>0.1967696195549237</v>
      </c>
      <c r="H3743" t="n">
        <v>0.0222594516219844</v>
      </c>
      <c r="I3743" t="n">
        <v>0.0893431009968942</v>
      </c>
      <c r="J3743" t="n">
        <v>0.0567340645584788</v>
      </c>
      <c r="K3743" t="n">
        <v>0.4253034566115749</v>
      </c>
      <c r="L3743" t="b">
        <v>0</v>
      </c>
      <c r="M3743" t="b">
        <v>0</v>
      </c>
      <c r="N3743" t="inlineStr">
        <is>
          <t>alt</t>
        </is>
      </c>
      <c r="O3743" t="n">
        <v>30</v>
      </c>
      <c r="P3743" t="n">
        <v>0.02713</v>
      </c>
      <c r="Q3743" t="n">
        <v>80</v>
      </c>
      <c r="R3743" t="n">
        <v>0.08685</v>
      </c>
      <c r="S3743">
        <f>IMAGE("https://mitra.stanford.edu/kundaje/oak/projects/neuro-variants/variant_position/credible/roussos_2024/variant_figures/roussos_2024.childhood.Astrocyte/rs13241095_count_position.png",4,220,900)</f>
        <v/>
      </c>
      <c r="T3743">
        <f>IMAGE("https://mitra.stanford.edu/kundaje/oak/projects/neuro-variants/variant_position/credible/roussos_2024/variant_figures/roussos_2024.childhood.Astrocyte/rs13241095_profile_position.png",4,220,900)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0.00516977634</v>
      </c>
      <c r="G3744" t="n">
        <v>0.8089336559510664</v>
      </c>
      <c r="H3744" t="n">
        <v>0.0217431901248019</v>
      </c>
      <c r="I3744" t="n">
        <v>0.09539253089374281</v>
      </c>
      <c r="J3744" t="n">
        <v>0.0359025440223488</v>
      </c>
      <c r="K3744" t="n">
        <v>0.5098756824550924</v>
      </c>
      <c r="L3744" t="b">
        <v>0</v>
      </c>
      <c r="M3744" t="b">
        <v>0</v>
      </c>
      <c r="N3744" t="inlineStr">
        <is>
          <t>alt</t>
        </is>
      </c>
      <c r="O3744" t="n">
        <v>-100</v>
      </c>
      <c r="P3744" t="n">
        <v>0.04684</v>
      </c>
      <c r="Q3744" t="n">
        <v>-65</v>
      </c>
      <c r="R3744" t="n">
        <v>0.1</v>
      </c>
      <c r="S3744">
        <f>IMAGE("https://mitra.stanford.edu/kundaje/oak/projects/neuro-variants/variant_position/credible/roussos_2024/variant_figures/roussos_2024.childhood.Astrocyte/rs13241489_count_position.png",4,220,900)</f>
        <v/>
      </c>
      <c r="T3744">
        <f>IMAGE("https://mitra.stanford.edu/kundaje/oak/projects/neuro-variants/variant_position/credible/roussos_2024/variant_figures/roussos_2024.childhood.Astrocyte/rs13241489_profile_position.png",4,220,900)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-0.01262378228</v>
      </c>
      <c r="G3745" t="n">
        <v>0.6843212288347402</v>
      </c>
      <c r="H3745" t="n">
        <v>0.0117695113552958</v>
      </c>
      <c r="I3745" t="n">
        <v>0.5392848757565717</v>
      </c>
      <c r="J3745" t="n">
        <v>0.0166014059673467</v>
      </c>
      <c r="K3745" t="n">
        <v>0.6246448950115968</v>
      </c>
      <c r="L3745" t="b">
        <v>0</v>
      </c>
      <c r="M3745" t="b">
        <v>0</v>
      </c>
      <c r="N3745" t="inlineStr">
        <is>
          <t>ref</t>
        </is>
      </c>
      <c r="O3745" t="n">
        <v>-85</v>
      </c>
      <c r="P3745" t="n">
        <v>0.000992</v>
      </c>
      <c r="Q3745" t="n">
        <v>-85</v>
      </c>
      <c r="R3745" t="n">
        <v>0.0614</v>
      </c>
      <c r="S3745">
        <f>IMAGE("https://mitra.stanford.edu/kundaje/oak/projects/neuro-variants/variant_position/credible/roussos_2024/variant_figures/roussos_2024.childhood.Astrocyte/rs13307062_count_position.png",4,220,900)</f>
        <v/>
      </c>
      <c r="T3745">
        <f>IMAGE("https://mitra.stanford.edu/kundaje/oak/projects/neuro-variants/variant_position/credible/roussos_2024/variant_figures/roussos_2024.childhood.Astrocyte/rs13307062_profile_position.png",4,220,900)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0.0431151314</v>
      </c>
      <c r="G3746" t="n">
        <v>0.2551710202892888</v>
      </c>
      <c r="H3746" t="n">
        <v>0.0105992552233</v>
      </c>
      <c r="I3746" t="n">
        <v>0.6538153304443198</v>
      </c>
      <c r="J3746" t="n">
        <v>0.0054025173074427</v>
      </c>
      <c r="K3746" t="n">
        <v>0.7679532514321702</v>
      </c>
      <c r="L3746" t="b">
        <v>0</v>
      </c>
      <c r="M3746" t="b">
        <v>0</v>
      </c>
      <c r="N3746" t="inlineStr">
        <is>
          <t>alt</t>
        </is>
      </c>
      <c r="O3746" t="n">
        <v>-25</v>
      </c>
      <c r="P3746" t="n">
        <v>0.01657</v>
      </c>
      <c r="Q3746" t="n">
        <v>-95</v>
      </c>
      <c r="R3746" t="n">
        <v>0.1213</v>
      </c>
      <c r="S3746">
        <f>IMAGE("https://mitra.stanford.edu/kundaje/oak/projects/neuro-variants/variant_position/credible/roussos_2024/variant_figures/roussos_2024.childhood.Astrocyte/rs34376444_count_position.png",4,220,900)</f>
        <v/>
      </c>
      <c r="T3746">
        <f>IMAGE("https://mitra.stanford.edu/kundaje/oak/projects/neuro-variants/variant_position/credible/roussos_2024/variant_figures/roussos_2024.childhood.Astrocyte/rs34376444_profile_position.png",4,220,900)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-0.07378511660000001</v>
      </c>
      <c r="G3747" t="n">
        <v>0.1230688522077755</v>
      </c>
      <c r="H3747" t="n">
        <v>0.0134686872566782</v>
      </c>
      <c r="I3747" t="n">
        <v>0.393275288896024</v>
      </c>
      <c r="J3747" t="n">
        <v>0.2747238823628188</v>
      </c>
      <c r="K3747" t="n">
        <v>0.14795883223227</v>
      </c>
      <c r="L3747" t="b">
        <v>0</v>
      </c>
      <c r="M3747" t="b">
        <v>0</v>
      </c>
      <c r="N3747" t="inlineStr">
        <is>
          <t>ref</t>
        </is>
      </c>
      <c r="O3747" t="n">
        <v>-100</v>
      </c>
      <c r="P3747" t="n">
        <v>0.00759</v>
      </c>
      <c r="Q3747" t="n">
        <v>80</v>
      </c>
      <c r="R3747" t="n">
        <v>0.3467</v>
      </c>
      <c r="S3747">
        <f>IMAGE("https://mitra.stanford.edu/kundaje/oak/projects/neuro-variants/variant_position/credible/roussos_2024/variant_figures/roussos_2024.childhood.Astrocyte/rs34578239_count_position.png",4,220,900)</f>
        <v/>
      </c>
      <c r="T3747">
        <f>IMAGE("https://mitra.stanford.edu/kundaje/oak/projects/neuro-variants/variant_position/credible/roussos_2024/variant_figures/roussos_2024.childhood.Astrocyte/rs34578239_profile_position.png",4,220,900)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0.08531500839999991</v>
      </c>
      <c r="G3748" t="n">
        <v>0.098571123091359</v>
      </c>
      <c r="H3748" t="n">
        <v>0.013907629818267</v>
      </c>
      <c r="I3748" t="n">
        <v>0.3449202188769341</v>
      </c>
      <c r="J3748" t="n">
        <v>0.061874775785609</v>
      </c>
      <c r="K3748" t="n">
        <v>0.4270522682982003</v>
      </c>
      <c r="L3748" t="b">
        <v>0</v>
      </c>
      <c r="M3748" t="b">
        <v>0</v>
      </c>
      <c r="N3748" t="inlineStr">
        <is>
          <t>alt</t>
        </is>
      </c>
      <c r="O3748" t="n">
        <v>90</v>
      </c>
      <c r="P3748" t="n">
        <v>0.01289</v>
      </c>
      <c r="Q3748" t="n">
        <v>-95</v>
      </c>
      <c r="R3748" t="n">
        <v>0.1603</v>
      </c>
      <c r="S3748">
        <f>IMAGE("https://mitra.stanford.edu/kundaje/oak/projects/neuro-variants/variant_position/credible/roussos_2024/variant_figures/roussos_2024.childhood.Astrocyte/rs221786_count_position.png",4,220,900)</f>
        <v/>
      </c>
      <c r="T3748">
        <f>IMAGE("https://mitra.stanford.edu/kundaje/oak/projects/neuro-variants/variant_position/credible/roussos_2024/variant_figures/roussos_2024.childhood.Astrocyte/rs221786_profile_position.png",4,220,900)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0.1199483958</v>
      </c>
      <c r="G3749" t="n">
        <v>0.0548999682045757</v>
      </c>
      <c r="H3749" t="n">
        <v>0.0153371971048967</v>
      </c>
      <c r="I3749" t="n">
        <v>0.285376136476903</v>
      </c>
      <c r="J3749" t="n">
        <v>0.628655934907223</v>
      </c>
      <c r="K3749" t="n">
        <v>0.028736694566831</v>
      </c>
      <c r="L3749" t="b">
        <v>0</v>
      </c>
      <c r="M3749" t="b">
        <v>0</v>
      </c>
      <c r="N3749" t="inlineStr">
        <is>
          <t>alt</t>
        </is>
      </c>
      <c r="O3749" t="n">
        <v>100</v>
      </c>
      <c r="P3749" t="n">
        <v>0.01122</v>
      </c>
      <c r="Q3749" t="n">
        <v>55</v>
      </c>
      <c r="R3749" t="n">
        <v>0.02637</v>
      </c>
      <c r="S3749">
        <f>IMAGE("https://mitra.stanford.edu/kundaje/oak/projects/neuro-variants/variant_position/credible/roussos_2024/variant_figures/roussos_2024.childhood.Astrocyte/rs221792_count_position.png",4,220,900)</f>
        <v/>
      </c>
      <c r="T3749">
        <f>IMAGE("https://mitra.stanford.edu/kundaje/oak/projects/neuro-variants/variant_position/credible/roussos_2024/variant_figures/roussos_2024.childhood.Astrocyte/rs221792_profile_position.png",4,220,900)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0.053339333</v>
      </c>
      <c r="G3750" t="n">
        <v>0.1438147874666411</v>
      </c>
      <c r="H3750" t="n">
        <v>0.0127855020936209</v>
      </c>
      <c r="I3750" t="n">
        <v>0.4439612986024709</v>
      </c>
      <c r="J3750" t="n">
        <v>0.0421324601375435</v>
      </c>
      <c r="K3750" t="n">
        <v>0.4724144954402167</v>
      </c>
      <c r="L3750" t="b">
        <v>0</v>
      </c>
      <c r="M3750" t="b">
        <v>0</v>
      </c>
      <c r="N3750" t="inlineStr">
        <is>
          <t>alt</t>
        </is>
      </c>
      <c r="O3750" t="n">
        <v>-40</v>
      </c>
      <c r="P3750" t="n">
        <v>0.004543</v>
      </c>
      <c r="Q3750" t="n">
        <v>-45</v>
      </c>
      <c r="R3750" t="n">
        <v>0.08790000000000001</v>
      </c>
      <c r="S3750">
        <f>IMAGE("https://mitra.stanford.edu/kundaje/oak/projects/neuro-variants/variant_position/credible/roussos_2024/variant_figures/roussos_2024.childhood.Astrocyte/rs314370_count_position.png",4,220,900)</f>
        <v/>
      </c>
      <c r="T3750">
        <f>IMAGE("https://mitra.stanford.edu/kundaje/oak/projects/neuro-variants/variant_position/credible/roussos_2024/variant_figures/roussos_2024.childhood.Astrocyte/rs314370_profile_position.png",4,220,900)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-0.0010597512199999</v>
      </c>
      <c r="G3751" t="n">
        <v>0.7026702003132634</v>
      </c>
      <c r="H3751" t="n">
        <v>0.00938566455922</v>
      </c>
      <c r="I3751" t="n">
        <v>0.779384337557595</v>
      </c>
      <c r="J3751" t="n">
        <v>0.09458984986222729</v>
      </c>
      <c r="K3751" t="n">
        <v>0.3446780822430574</v>
      </c>
      <c r="L3751" t="b">
        <v>0</v>
      </c>
      <c r="M3751" t="b">
        <v>0</v>
      </c>
      <c r="N3751" t="inlineStr">
        <is>
          <t>ref</t>
        </is>
      </c>
      <c r="O3751" t="n">
        <v>-60</v>
      </c>
      <c r="P3751" t="n">
        <v>0.007347</v>
      </c>
      <c r="Q3751" t="n">
        <v>100</v>
      </c>
      <c r="R3751" t="n">
        <v>0.1492</v>
      </c>
      <c r="S3751">
        <f>IMAGE("https://mitra.stanford.edu/kundaje/oak/projects/neuro-variants/variant_position/credible/roussos_2024/variant_figures/roussos_2024.childhood.Astrocyte/rs12705090_count_position.png",4,220,900)</f>
        <v/>
      </c>
      <c r="T3751">
        <f>IMAGE("https://mitra.stanford.edu/kundaje/oak/projects/neuro-variants/variant_position/credible/roussos_2024/variant_figures/roussos_2024.childhood.Astrocyte/rs12705090_profile_position.png",4,220,900)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0.0679096324</v>
      </c>
      <c r="G3752" t="n">
        <v>0.1407425795772231</v>
      </c>
      <c r="H3752" t="n">
        <v>0.0107315858666046</v>
      </c>
      <c r="I3752" t="n">
        <v>0.6335014264912706</v>
      </c>
      <c r="J3752" t="n">
        <v>0.0147855556318838</v>
      </c>
      <c r="K3752" t="n">
        <v>0.6372121441480432</v>
      </c>
      <c r="L3752" t="b">
        <v>0</v>
      </c>
      <c r="M3752" t="b">
        <v>0</v>
      </c>
      <c r="N3752" t="inlineStr">
        <is>
          <t>alt</t>
        </is>
      </c>
      <c r="O3752" t="n">
        <v>45</v>
      </c>
      <c r="P3752" t="n">
        <v>0.00283</v>
      </c>
      <c r="Q3752" t="n">
        <v>-100</v>
      </c>
      <c r="R3752" t="n">
        <v>0.1292</v>
      </c>
      <c r="S3752">
        <f>IMAGE("https://mitra.stanford.edu/kundaje/oak/projects/neuro-variants/variant_position/credible/roussos_2024/variant_figures/roussos_2024.childhood.Astrocyte/rs12667888_count_position.png",4,220,900)</f>
        <v/>
      </c>
      <c r="T3752">
        <f>IMAGE("https://mitra.stanford.edu/kundaje/oak/projects/neuro-variants/variant_position/credible/roussos_2024/variant_figures/roussos_2024.childhood.Astrocyte/rs12667888_profile_position.png",4,220,900)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-0.094808369</v>
      </c>
      <c r="G3753" t="n">
        <v>0.0769285634968912</v>
      </c>
      <c r="H3753" t="n">
        <v>0.0529603149121199</v>
      </c>
      <c r="I3753" t="n">
        <v>0.0032371905230599</v>
      </c>
      <c r="J3753" t="n">
        <v>0.3607474067458954</v>
      </c>
      <c r="K3753" t="n">
        <v>0.1037627325048214</v>
      </c>
      <c r="L3753" t="b">
        <v>1</v>
      </c>
      <c r="M3753" t="b">
        <v>1</v>
      </c>
      <c r="N3753" t="inlineStr">
        <is>
          <t>ref</t>
        </is>
      </c>
      <c r="O3753" t="n">
        <v>-15</v>
      </c>
      <c r="P3753" t="n">
        <v>0.0006104</v>
      </c>
      <c r="Q3753" t="n">
        <v>0</v>
      </c>
      <c r="R3753" t="n">
        <v>0</v>
      </c>
      <c r="S3753">
        <f>IMAGE("https://mitra.stanford.edu/kundaje/oak/projects/neuro-variants/variant_position/credible/roussos_2024/variant_figures/roussos_2024.childhood.Astrocyte/rs12705093_count_position.png",4,220,900)</f>
        <v/>
      </c>
      <c r="T3753">
        <f>IMAGE("https://mitra.stanford.edu/kundaje/oak/projects/neuro-variants/variant_position/credible/roussos_2024/variant_figures/roussos_2024.childhood.Astrocyte/rs12705093_profile_position.png",4,220,900)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-0.0544763712</v>
      </c>
      <c r="G3754" t="n">
        <v>0.2091899720386279</v>
      </c>
      <c r="H3754" t="n">
        <v>0.0165545438179712</v>
      </c>
      <c r="I3754" t="n">
        <v>0.2258532680303719</v>
      </c>
      <c r="J3754" t="n">
        <v>0.89415783166556</v>
      </c>
      <c r="K3754" t="n">
        <v>0.0022718984151715</v>
      </c>
      <c r="L3754" t="b">
        <v>0</v>
      </c>
      <c r="M3754" t="b">
        <v>0</v>
      </c>
      <c r="N3754" t="inlineStr">
        <is>
          <t>ref</t>
        </is>
      </c>
      <c r="O3754" t="n">
        <v>-65</v>
      </c>
      <c r="P3754" t="n">
        <v>0.03928</v>
      </c>
      <c r="Q3754" t="n">
        <v>-80</v>
      </c>
      <c r="R3754" t="n">
        <v>0.3008</v>
      </c>
      <c r="S3754">
        <f>IMAGE("https://mitra.stanford.edu/kundaje/oak/projects/neuro-variants/variant_position/credible/roussos_2024/variant_figures/roussos_2024.childhood.Astrocyte/rs17884589_count_position.png",4,220,900)</f>
        <v/>
      </c>
      <c r="T3754">
        <f>IMAGE("https://mitra.stanford.edu/kundaje/oak/projects/neuro-variants/variant_position/credible/roussos_2024/variant_figures/roussos_2024.childhood.Astrocyte/rs17884589_profile_position.png",4,220,900)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-0.0074972332</v>
      </c>
      <c r="G3755" t="n">
        <v>0.6243553370415316</v>
      </c>
      <c r="H3755" t="n">
        <v>0.0201012738216301</v>
      </c>
      <c r="I3755" t="n">
        <v>0.1260146892151562</v>
      </c>
      <c r="J3755" t="n">
        <v>0.8794852419225572</v>
      </c>
      <c r="K3755" t="n">
        <v>0.0030292376606415</v>
      </c>
      <c r="L3755" t="b">
        <v>0</v>
      </c>
      <c r="M3755" t="b">
        <v>0</v>
      </c>
      <c r="N3755" t="inlineStr">
        <is>
          <t>ref</t>
        </is>
      </c>
      <c r="O3755" t="n">
        <v>-100</v>
      </c>
      <c r="P3755" t="n">
        <v>0.04065</v>
      </c>
      <c r="Q3755" t="n">
        <v>-100</v>
      </c>
      <c r="R3755" t="n">
        <v>0.10986</v>
      </c>
      <c r="S3755">
        <f>IMAGE("https://mitra.stanford.edu/kundaje/oak/projects/neuro-variants/variant_position/credible/roussos_2024/variant_figures/roussos_2024.childhood.Astrocyte/rs17883557_count_position.png",4,220,900)</f>
        <v/>
      </c>
      <c r="T3755">
        <f>IMAGE("https://mitra.stanford.edu/kundaje/oak/projects/neuro-variants/variant_position/credible/roussos_2024/variant_figures/roussos_2024.childhood.Astrocyte/rs17883557_profile_position.png",4,220,900)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0.0809498224</v>
      </c>
      <c r="G3756" t="n">
        <v>0.1102946691932815</v>
      </c>
      <c r="H3756" t="n">
        <v>0.0121801773387342</v>
      </c>
      <c r="I3756" t="n">
        <v>0.5013199281312539</v>
      </c>
      <c r="J3756" t="n">
        <v>0.0469938097746024</v>
      </c>
      <c r="K3756" t="n">
        <v>0.4730559267550693</v>
      </c>
      <c r="L3756" t="b">
        <v>0</v>
      </c>
      <c r="M3756" t="b">
        <v>0</v>
      </c>
      <c r="N3756" t="inlineStr">
        <is>
          <t>alt</t>
        </is>
      </c>
      <c r="O3756" t="n">
        <v>85</v>
      </c>
      <c r="P3756" t="n">
        <v>0.109</v>
      </c>
      <c r="Q3756" t="n">
        <v>90</v>
      </c>
      <c r="R3756" t="n">
        <v>0.1462</v>
      </c>
      <c r="S3756">
        <f>IMAGE("https://mitra.stanford.edu/kundaje/oak/projects/neuro-variants/variant_position/credible/roussos_2024/variant_figures/roussos_2024.childhood.Astrocyte/rs10278546_count_position.png",4,220,900)</f>
        <v/>
      </c>
      <c r="T3756">
        <f>IMAGE("https://mitra.stanford.edu/kundaje/oak/projects/neuro-variants/variant_position/credible/roussos_2024/variant_figures/roussos_2024.childhood.Astrocyte/rs10278546_profile_position.png",4,220,900)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-0.0311847488</v>
      </c>
      <c r="G3757" t="n">
        <v>0.3859256876461809</v>
      </c>
      <c r="H3757" t="n">
        <v>0.0464981570589697</v>
      </c>
      <c r="I3757" t="n">
        <v>0.0052778389891702</v>
      </c>
      <c r="J3757" t="n">
        <v>0.0127979666140001</v>
      </c>
      <c r="K3757" t="n">
        <v>0.6704780943858998</v>
      </c>
      <c r="L3757" t="b">
        <v>1</v>
      </c>
      <c r="M3757" t="b">
        <v>0</v>
      </c>
      <c r="N3757" t="inlineStr">
        <is>
          <t>ref</t>
        </is>
      </c>
      <c r="O3757" t="n">
        <v>70</v>
      </c>
      <c r="P3757" t="n">
        <v>0.013565</v>
      </c>
      <c r="Q3757" t="n">
        <v>70</v>
      </c>
      <c r="R3757" t="n">
        <v>0.1592</v>
      </c>
      <c r="S3757">
        <f>IMAGE("https://mitra.stanford.edu/kundaje/oak/projects/neuro-variants/variant_position/credible/roussos_2024/variant_figures/roussos_2024.childhood.Astrocyte/rs2252074_count_position.png",4,220,900)</f>
        <v/>
      </c>
      <c r="T3757">
        <f>IMAGE("https://mitra.stanford.edu/kundaje/oak/projects/neuro-variants/variant_position/credible/roussos_2024/variant_figures/roussos_2024.childhood.Astrocyte/rs2252074_profile_position.png",4,220,900)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0.00771506636</v>
      </c>
      <c r="G3758" t="n">
        <v>0.7714049955173173</v>
      </c>
      <c r="H3758" t="n">
        <v>0.028933559844778</v>
      </c>
      <c r="I3758" t="n">
        <v>0.0350104412213995</v>
      </c>
      <c r="J3758" t="n">
        <v>0.0042583560410035</v>
      </c>
      <c r="K3758" t="n">
        <v>0.7915961726393361</v>
      </c>
      <c r="L3758" t="b">
        <v>0</v>
      </c>
      <c r="M3758" t="b">
        <v>0</v>
      </c>
      <c r="N3758" t="inlineStr">
        <is>
          <t>alt</t>
        </is>
      </c>
      <c r="O3758" t="n">
        <v>85</v>
      </c>
      <c r="P3758" t="n">
        <v>0.01459</v>
      </c>
      <c r="Q3758" t="n">
        <v>-30</v>
      </c>
      <c r="R3758" t="n">
        <v>0.053</v>
      </c>
      <c r="S3758">
        <f>IMAGE("https://mitra.stanford.edu/kundaje/oak/projects/neuro-variants/variant_position/credible/roussos_2024/variant_figures/roussos_2024.childhood.Astrocyte/rs4727614_count_position.png",4,220,900)</f>
        <v/>
      </c>
      <c r="T3758">
        <f>IMAGE("https://mitra.stanford.edu/kundaje/oak/projects/neuro-variants/variant_position/credible/roussos_2024/variant_figures/roussos_2024.childhood.Astrocyte/rs4727614_profile_position.png",4,220,900)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-0.0190199672</v>
      </c>
      <c r="G3759" t="n">
        <v>0.5566303375518412</v>
      </c>
      <c r="H3759" t="n">
        <v>0.0137888768688373</v>
      </c>
      <c r="I3759" t="n">
        <v>0.3757755208748557</v>
      </c>
      <c r="J3759" t="n">
        <v>0.0033126483631395</v>
      </c>
      <c r="K3759" t="n">
        <v>0.8144698245963894</v>
      </c>
      <c r="L3759" t="b">
        <v>0</v>
      </c>
      <c r="M3759" t="b">
        <v>0</v>
      </c>
      <c r="N3759" t="inlineStr">
        <is>
          <t>ref</t>
        </is>
      </c>
      <c r="O3759" t="n">
        <v>-100</v>
      </c>
      <c r="P3759" t="n">
        <v>0.004745</v>
      </c>
      <c r="Q3759" t="n">
        <v>-95</v>
      </c>
      <c r="R3759" t="n">
        <v>0.08799999999999999</v>
      </c>
      <c r="S3759">
        <f>IMAGE("https://mitra.stanford.edu/kundaje/oak/projects/neuro-variants/variant_position/credible/roussos_2024/variant_figures/roussos_2024.childhood.Astrocyte/rs7776707_count_position.png",4,220,900)</f>
        <v/>
      </c>
      <c r="T3759">
        <f>IMAGE("https://mitra.stanford.edu/kundaje/oak/projects/neuro-variants/variant_position/credible/roussos_2024/variant_figures/roussos_2024.childhood.Astrocyte/rs7776707_profile_position.png",4,220,900)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-0.009059948908</v>
      </c>
      <c r="G3760" t="n">
        <v>0.7347119068181525</v>
      </c>
      <c r="H3760" t="n">
        <v>0.0120395473734556</v>
      </c>
      <c r="I3760" t="n">
        <v>0.5101691206198067</v>
      </c>
      <c r="J3760" t="n">
        <v>0.8978872325647073</v>
      </c>
      <c r="K3760" t="n">
        <v>0.0020127426813788</v>
      </c>
      <c r="L3760" t="b">
        <v>0</v>
      </c>
      <c r="M3760" t="b">
        <v>0</v>
      </c>
      <c r="N3760" t="inlineStr">
        <is>
          <t>ref</t>
        </is>
      </c>
      <c r="O3760" t="n">
        <v>-100</v>
      </c>
      <c r="P3760" t="n">
        <v>0.03806</v>
      </c>
      <c r="Q3760" t="n">
        <v>-100</v>
      </c>
      <c r="R3760" t="n">
        <v>0.4136</v>
      </c>
      <c r="S3760">
        <f>IMAGE("https://mitra.stanford.edu/kundaje/oak/projects/neuro-variants/variant_position/credible/roussos_2024/variant_figures/roussos_2024.childhood.Astrocyte/rs3823752_count_position.png",4,220,900)</f>
        <v/>
      </c>
      <c r="T3760">
        <f>IMAGE("https://mitra.stanford.edu/kundaje/oak/projects/neuro-variants/variant_position/credible/roussos_2024/variant_figures/roussos_2024.childhood.Astrocyte/rs3823752_profile_position.png",4,220,900)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0.0263775655999999</v>
      </c>
      <c r="G3761" t="n">
        <v>0.4173811988520486</v>
      </c>
      <c r="H3761" t="n">
        <v>0.0095847214985632</v>
      </c>
      <c r="I3761" t="n">
        <v>0.7574826537062909</v>
      </c>
      <c r="J3761" t="n">
        <v>0.0147825024997518</v>
      </c>
      <c r="K3761" t="n">
        <v>0.6421164761300773</v>
      </c>
      <c r="L3761" t="b">
        <v>0</v>
      </c>
      <c r="M3761" t="b">
        <v>0</v>
      </c>
      <c r="N3761" t="inlineStr">
        <is>
          <t>alt</t>
        </is>
      </c>
      <c r="O3761" t="n">
        <v>0</v>
      </c>
      <c r="P3761" t="n">
        <v>0</v>
      </c>
      <c r="Q3761" t="n">
        <v>40</v>
      </c>
      <c r="R3761" t="n">
        <v>0.0793</v>
      </c>
      <c r="S3761">
        <f>IMAGE("https://mitra.stanford.edu/kundaje/oak/projects/neuro-variants/variant_position/credible/roussos_2024/variant_figures/roussos_2024.childhood.Astrocyte/rs11760317_count_position.png",4,220,900)</f>
        <v/>
      </c>
      <c r="T3761">
        <f>IMAGE("https://mitra.stanford.edu/kundaje/oak/projects/neuro-variants/variant_position/credible/roussos_2024/variant_figures/roussos_2024.childhood.Astrocyte/rs11760317_profile_position.png",4,220,900)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-0.0219976726</v>
      </c>
      <c r="G3762" t="n">
        <v>0.3706681738974576</v>
      </c>
      <c r="H3762" t="n">
        <v>0.0140549917992577</v>
      </c>
      <c r="I3762" t="n">
        <v>0.3577427152270326</v>
      </c>
      <c r="J3762" t="n">
        <v>0.0991642050788852</v>
      </c>
      <c r="K3762" t="n">
        <v>0.3274924627931364</v>
      </c>
      <c r="L3762" t="b">
        <v>0</v>
      </c>
      <c r="M3762" t="b">
        <v>0</v>
      </c>
      <c r="N3762" t="inlineStr">
        <is>
          <t>ref</t>
        </is>
      </c>
      <c r="O3762" t="n">
        <v>25</v>
      </c>
      <c r="P3762" t="n">
        <v>0.0407</v>
      </c>
      <c r="Q3762" t="n">
        <v>60</v>
      </c>
      <c r="R3762" t="n">
        <v>0.07764</v>
      </c>
      <c r="S3762">
        <f>IMAGE("https://mitra.stanford.edu/kundaje/oak/projects/neuro-variants/variant_position/credible/roussos_2024/variant_figures/roussos_2024.childhood.Astrocyte/rs10808141_count_position.png",4,220,900)</f>
        <v/>
      </c>
      <c r="T3762">
        <f>IMAGE("https://mitra.stanford.edu/kundaje/oak/projects/neuro-variants/variant_position/credible/roussos_2024/variant_figures/roussos_2024.childhood.Astrocyte/rs10808141_profile_position.png",4,220,900)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0.0220365754</v>
      </c>
      <c r="G3763" t="n">
        <v>0.486801723337319</v>
      </c>
      <c r="H3763" t="n">
        <v>0.0307916965033105</v>
      </c>
      <c r="I3763" t="n">
        <v>0.0269297671867904</v>
      </c>
      <c r="J3763" t="n">
        <v>0.1038935067512383</v>
      </c>
      <c r="K3763" t="n">
        <v>0.3202897598746815</v>
      </c>
      <c r="L3763" t="b">
        <v>0</v>
      </c>
      <c r="M3763" t="b">
        <v>0</v>
      </c>
      <c r="N3763" t="inlineStr">
        <is>
          <t>alt</t>
        </is>
      </c>
      <c r="O3763" t="n">
        <v>45</v>
      </c>
      <c r="P3763" t="n">
        <v>0.00409</v>
      </c>
      <c r="Q3763" t="n">
        <v>100</v>
      </c>
      <c r="R3763" t="n">
        <v>0.10565</v>
      </c>
      <c r="S3763">
        <f>IMAGE("https://mitra.stanford.edu/kundaje/oak/projects/neuro-variants/variant_position/credible/roussos_2024/variant_figures/roussos_2024.childhood.Astrocyte/rs10953468_count_position.png",4,220,900)</f>
        <v/>
      </c>
      <c r="T3763">
        <f>IMAGE("https://mitra.stanford.edu/kundaje/oak/projects/neuro-variants/variant_position/credible/roussos_2024/variant_figures/roussos_2024.childhood.Astrocyte/rs10953468_profile_position.png",4,220,900)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0.0037018944799999</v>
      </c>
      <c r="G3764" t="n">
        <v>0.7675750774454381</v>
      </c>
      <c r="H3764" t="n">
        <v>0.0251192548439267</v>
      </c>
      <c r="I3764" t="n">
        <v>0.0580020996355193</v>
      </c>
      <c r="J3764" t="n">
        <v>0.0171097524673123</v>
      </c>
      <c r="K3764" t="n">
        <v>0.618846072423562</v>
      </c>
      <c r="L3764" t="b">
        <v>0</v>
      </c>
      <c r="M3764" t="b">
        <v>0</v>
      </c>
      <c r="N3764" t="inlineStr">
        <is>
          <t>alt</t>
        </is>
      </c>
      <c r="O3764" t="n">
        <v>-90</v>
      </c>
      <c r="P3764" t="n">
        <v>0.03317</v>
      </c>
      <c r="Q3764" t="n">
        <v>-100</v>
      </c>
      <c r="R3764" t="n">
        <v>0.1017</v>
      </c>
      <c r="S3764">
        <f>IMAGE("https://mitra.stanford.edu/kundaje/oak/projects/neuro-variants/variant_position/credible/roussos_2024/variant_figures/roussos_2024.childhood.Astrocyte/rs6943183_count_position.png",4,220,900)</f>
        <v/>
      </c>
      <c r="T3764">
        <f>IMAGE("https://mitra.stanford.edu/kundaje/oak/projects/neuro-variants/variant_position/credible/roussos_2024/variant_figures/roussos_2024.childhood.Astrocyte/rs6943183_profile_position.png",4,220,900)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-0.0177391614</v>
      </c>
      <c r="G3765" t="n">
        <v>0.5815008720236228</v>
      </c>
      <c r="H3765" t="n">
        <v>0.0081022595964198</v>
      </c>
      <c r="I3765" t="n">
        <v>0.8920115426048058</v>
      </c>
      <c r="J3765" t="n">
        <v>0.001354064100509</v>
      </c>
      <c r="K3765" t="n">
        <v>0.8852100753899947</v>
      </c>
      <c r="L3765" t="b">
        <v>0</v>
      </c>
      <c r="M3765" t="b">
        <v>0</v>
      </c>
      <c r="N3765" t="inlineStr">
        <is>
          <t>ref</t>
        </is>
      </c>
      <c r="O3765" t="n">
        <v>45</v>
      </c>
      <c r="P3765" t="n">
        <v>0.01645</v>
      </c>
      <c r="Q3765" t="n">
        <v>10</v>
      </c>
      <c r="R3765" t="n">
        <v>0.01503</v>
      </c>
      <c r="S3765">
        <f>IMAGE("https://mitra.stanford.edu/kundaje/oak/projects/neuro-variants/variant_position/credible/roussos_2024/variant_figures/roussos_2024.childhood.Astrocyte/rs3779210_count_position.png",4,220,900)</f>
        <v/>
      </c>
      <c r="T3765">
        <f>IMAGE("https://mitra.stanford.edu/kundaje/oak/projects/neuro-variants/variant_position/credible/roussos_2024/variant_figures/roussos_2024.childhood.Astrocyte/rs3779210_profile_position.png",4,220,900)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0.0418662070219999</v>
      </c>
      <c r="G3766" t="n">
        <v>0.2859581915908192</v>
      </c>
      <c r="H3766" t="n">
        <v>0.0163958529243447</v>
      </c>
      <c r="I3766" t="n">
        <v>0.230314715923169</v>
      </c>
      <c r="J3766" t="n">
        <v>0.0277926617969208</v>
      </c>
      <c r="K3766" t="n">
        <v>0.5427943038600506</v>
      </c>
      <c r="L3766" t="b">
        <v>0</v>
      </c>
      <c r="M3766" t="b">
        <v>0</v>
      </c>
      <c r="N3766" t="inlineStr">
        <is>
          <t>alt</t>
        </is>
      </c>
      <c r="O3766" t="n">
        <v>90</v>
      </c>
      <c r="P3766" t="n">
        <v>0.004787</v>
      </c>
      <c r="Q3766" t="n">
        <v>20</v>
      </c>
      <c r="R3766" t="n">
        <v>0.0624</v>
      </c>
      <c r="S3766">
        <f>IMAGE("https://mitra.stanford.edu/kundaje/oak/projects/neuro-variants/variant_position/credible/roussos_2024/variant_figures/roussos_2024.childhood.Astrocyte/rs10281886_count_position.png",4,220,900)</f>
        <v/>
      </c>
      <c r="T3766">
        <f>IMAGE("https://mitra.stanford.edu/kundaje/oak/projects/neuro-variants/variant_position/credible/roussos_2024/variant_figures/roussos_2024.childhood.Astrocyte/rs10281886_profile_position.png",4,220,900)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0.0034775935</v>
      </c>
      <c r="G3767" t="n">
        <v>0.6405179167321627</v>
      </c>
      <c r="H3767" t="n">
        <v>0.0237555949426016</v>
      </c>
      <c r="I3767" t="n">
        <v>0.07108164273741099</v>
      </c>
      <c r="J3767" t="n">
        <v>0.0751620068237502</v>
      </c>
      <c r="K3767" t="n">
        <v>0.3753251633388266</v>
      </c>
      <c r="L3767" t="b">
        <v>0</v>
      </c>
      <c r="M3767" t="b">
        <v>0</v>
      </c>
      <c r="N3767" t="inlineStr">
        <is>
          <t>alt</t>
        </is>
      </c>
      <c r="O3767" t="n">
        <v>100</v>
      </c>
      <c r="P3767" t="n">
        <v>0.01978</v>
      </c>
      <c r="Q3767" t="n">
        <v>-5</v>
      </c>
      <c r="R3767" t="n">
        <v>0.005615</v>
      </c>
      <c r="S3767">
        <f>IMAGE("https://mitra.stanford.edu/kundaje/oak/projects/neuro-variants/variant_position/credible/roussos_2024/variant_figures/roussos_2024.childhood.Astrocyte/rs2240463_count_position.png",4,220,900)</f>
        <v/>
      </c>
      <c r="T3767">
        <f>IMAGE("https://mitra.stanford.edu/kundaje/oak/projects/neuro-variants/variant_position/credible/roussos_2024/variant_figures/roussos_2024.childhood.Astrocyte/rs2240463_profile_position.png",4,220,900)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-0.0472343548</v>
      </c>
      <c r="G3768" t="n">
        <v>0.235515237030632</v>
      </c>
      <c r="H3768" t="n">
        <v>0.0222638664903736</v>
      </c>
      <c r="I3768" t="n">
        <v>0.08811527354038889</v>
      </c>
      <c r="J3768" t="n">
        <v>0.1073343866639188</v>
      </c>
      <c r="K3768" t="n">
        <v>0.3121473344198657</v>
      </c>
      <c r="L3768" t="b">
        <v>0</v>
      </c>
      <c r="M3768" t="b">
        <v>0</v>
      </c>
      <c r="N3768" t="inlineStr">
        <is>
          <t>ref</t>
        </is>
      </c>
      <c r="O3768" t="n">
        <v>30</v>
      </c>
      <c r="P3768" t="n">
        <v>0.00763</v>
      </c>
      <c r="Q3768" t="n">
        <v>-85</v>
      </c>
      <c r="R3768" t="n">
        <v>0.01721</v>
      </c>
      <c r="S3768">
        <f>IMAGE("https://mitra.stanford.edu/kundaje/oak/projects/neuro-variants/variant_position/credible/roussos_2024/variant_figures/roussos_2024.childhood.Astrocyte/rs10281422_count_position.png",4,220,900)</f>
        <v/>
      </c>
      <c r="T3768">
        <f>IMAGE("https://mitra.stanford.edu/kundaje/oak/projects/neuro-variants/variant_position/credible/roussos_2024/variant_figures/roussos_2024.childhood.Astrocyte/rs10281422_profile_position.png",4,220,900)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0.0942966523999999</v>
      </c>
      <c r="G3769" t="n">
        <v>0.09106252031165959</v>
      </c>
      <c r="H3769" t="n">
        <v>0.0197952459857014</v>
      </c>
      <c r="I3769" t="n">
        <v>0.1387088280976282</v>
      </c>
      <c r="J3769" t="n">
        <v>0.1014281025547082</v>
      </c>
      <c r="K3769" t="n">
        <v>0.3231090712940496</v>
      </c>
      <c r="L3769" t="b">
        <v>0</v>
      </c>
      <c r="M3769" t="b">
        <v>0</v>
      </c>
      <c r="N3769" t="inlineStr">
        <is>
          <t>alt</t>
        </is>
      </c>
      <c r="O3769" t="n">
        <v>100</v>
      </c>
      <c r="P3769" t="n">
        <v>0.005707</v>
      </c>
      <c r="Q3769" t="n">
        <v>-20</v>
      </c>
      <c r="R3769" t="n">
        <v>0.06383999999999999</v>
      </c>
      <c r="S3769">
        <f>IMAGE("https://mitra.stanford.edu/kundaje/oak/projects/neuro-variants/variant_position/credible/roussos_2024/variant_figures/roussos_2024.childhood.Astrocyte/rs41562_count_position.png",4,220,900)</f>
        <v/>
      </c>
      <c r="T3769">
        <f>IMAGE("https://mitra.stanford.edu/kundaje/oak/projects/neuro-variants/variant_position/credible/roussos_2024/variant_figures/roussos_2024.childhood.Astrocyte/rs41562_profile_position.png",4,220,900)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-0.00485582044</v>
      </c>
      <c r="G3770" t="n">
        <v>0.6311387894812642</v>
      </c>
      <c r="H3770" t="n">
        <v>0.0137637162419487</v>
      </c>
      <c r="I3770" t="n">
        <v>0.3753456161267813</v>
      </c>
      <c r="J3770" t="n">
        <v>0.0722737438269484</v>
      </c>
      <c r="K3770" t="n">
        <v>0.3849455579710354</v>
      </c>
      <c r="L3770" t="b">
        <v>0</v>
      </c>
      <c r="M3770" t="b">
        <v>0</v>
      </c>
      <c r="N3770" t="inlineStr">
        <is>
          <t>ref</t>
        </is>
      </c>
      <c r="O3770" t="n">
        <v>-45</v>
      </c>
      <c r="P3770" t="n">
        <v>0.001694</v>
      </c>
      <c r="Q3770" t="n">
        <v>-100</v>
      </c>
      <c r="R3770" t="n">
        <v>0.0654</v>
      </c>
      <c r="S3770">
        <f>IMAGE("https://mitra.stanford.edu/kundaje/oak/projects/neuro-variants/variant_position/credible/roussos_2024/variant_figures/roussos_2024.childhood.Astrocyte/rs2237613_count_position.png",4,220,900)</f>
        <v/>
      </c>
      <c r="T3770">
        <f>IMAGE("https://mitra.stanford.edu/kundaje/oak/projects/neuro-variants/variant_position/credible/roussos_2024/variant_figures/roussos_2024.childhood.Astrocyte/rs2237613_profile_position.png",4,220,900)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0.0411448932</v>
      </c>
      <c r="G3771" t="n">
        <v>0.2475986852523057</v>
      </c>
      <c r="H3771" t="n">
        <v>0.0208533793352044</v>
      </c>
      <c r="I3771" t="n">
        <v>0.1126143546158197</v>
      </c>
      <c r="J3771" t="n">
        <v>0.0018509613549799</v>
      </c>
      <c r="K3771" t="n">
        <v>0.8705502136558442</v>
      </c>
      <c r="L3771" t="b">
        <v>0</v>
      </c>
      <c r="M3771" t="b">
        <v>0</v>
      </c>
      <c r="N3771" t="inlineStr">
        <is>
          <t>alt</t>
        </is>
      </c>
      <c r="O3771" t="n">
        <v>-100</v>
      </c>
      <c r="P3771" t="n">
        <v>0.00783</v>
      </c>
      <c r="Q3771" t="n">
        <v>55</v>
      </c>
      <c r="R3771" t="n">
        <v>0.0586</v>
      </c>
      <c r="S3771">
        <f>IMAGE("https://mitra.stanford.edu/kundaje/oak/projects/neuro-variants/variant_position/credible/roussos_2024/variant_figures/roussos_2024.childhood.Astrocyte/rs4730073_count_position.png",4,220,900)</f>
        <v/>
      </c>
      <c r="T3771">
        <f>IMAGE("https://mitra.stanford.edu/kundaje/oak/projects/neuro-variants/variant_position/credible/roussos_2024/variant_figures/roussos_2024.childhood.Astrocyte/rs4730073_profile_position.png",4,220,900)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-0.0773789148</v>
      </c>
      <c r="G3772" t="n">
        <v>0.1111761728710677</v>
      </c>
      <c r="H3772" t="n">
        <v>0.0160540944956644</v>
      </c>
      <c r="I3772" t="n">
        <v>0.2499716867305208</v>
      </c>
      <c r="J3772" t="n">
        <v>0.0036416233503545</v>
      </c>
      <c r="K3772" t="n">
        <v>0.8169477799915816</v>
      </c>
      <c r="L3772" t="b">
        <v>0</v>
      </c>
      <c r="M3772" t="b">
        <v>0</v>
      </c>
      <c r="N3772" t="inlineStr">
        <is>
          <t>ref</t>
        </is>
      </c>
      <c r="O3772" t="n">
        <v>15</v>
      </c>
      <c r="P3772" t="n">
        <v>0.002007</v>
      </c>
      <c r="Q3772" t="n">
        <v>-10</v>
      </c>
      <c r="R3772" t="n">
        <v>0.01904</v>
      </c>
      <c r="S3772">
        <f>IMAGE("https://mitra.stanford.edu/kundaje/oak/projects/neuro-variants/variant_position/credible/roussos_2024/variant_figures/roussos_2024.childhood.Astrocyte/rs10953470_count_position.png",4,220,900)</f>
        <v/>
      </c>
      <c r="T3772">
        <f>IMAGE("https://mitra.stanford.edu/kundaje/oak/projects/neuro-variants/variant_position/credible/roussos_2024/variant_figures/roussos_2024.childhood.Astrocyte/rs10953470_profile_position.png",4,220,900)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-0.0066467367369999</v>
      </c>
      <c r="G3773" t="n">
        <v>0.6332266625965507</v>
      </c>
      <c r="H3773" t="n">
        <v>0.01507612677239</v>
      </c>
      <c r="I3773" t="n">
        <v>0.2960877714600308</v>
      </c>
      <c r="J3773" t="n">
        <v>0.0086678421225373</v>
      </c>
      <c r="K3773" t="n">
        <v>0.7120438162838602</v>
      </c>
      <c r="L3773" t="b">
        <v>0</v>
      </c>
      <c r="M3773" t="b">
        <v>0</v>
      </c>
      <c r="N3773" t="inlineStr">
        <is>
          <t>ref</t>
        </is>
      </c>
      <c r="O3773" t="n">
        <v>-60</v>
      </c>
      <c r="P3773" t="n">
        <v>0.004425</v>
      </c>
      <c r="Q3773" t="n">
        <v>-60</v>
      </c>
      <c r="R3773" t="n">
        <v>0.10693</v>
      </c>
      <c r="S3773">
        <f>IMAGE("https://mitra.stanford.edu/kundaje/oak/projects/neuro-variants/variant_position/credible/roussos_2024/variant_figures/roussos_2024.childhood.Astrocyte/rs3801282_count_position.png",4,220,900)</f>
        <v/>
      </c>
      <c r="T3773">
        <f>IMAGE("https://mitra.stanford.edu/kundaje/oak/projects/neuro-variants/variant_position/credible/roussos_2024/variant_figures/roussos_2024.childhood.Astrocyte/rs3801282_profile_position.png",4,220,900)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-0.0182731683999999</v>
      </c>
      <c r="G3774" t="n">
        <v>0.5677128726625282</v>
      </c>
      <c r="H3774" t="n">
        <v>0.008004377430853599</v>
      </c>
      <c r="I3774" t="n">
        <v>0.902114449662236</v>
      </c>
      <c r="J3774" t="n">
        <v>0.007037469564089</v>
      </c>
      <c r="K3774" t="n">
        <v>0.744219924212751</v>
      </c>
      <c r="L3774" t="b">
        <v>0</v>
      </c>
      <c r="M3774" t="b">
        <v>0</v>
      </c>
      <c r="N3774" t="inlineStr">
        <is>
          <t>ref</t>
        </is>
      </c>
      <c r="O3774" t="n">
        <v>100</v>
      </c>
      <c r="P3774" t="n">
        <v>0.012146</v>
      </c>
      <c r="Q3774" t="n">
        <v>-25</v>
      </c>
      <c r="R3774" t="n">
        <v>0.01627</v>
      </c>
      <c r="S3774">
        <f>IMAGE("https://mitra.stanford.edu/kundaje/oak/projects/neuro-variants/variant_position/credible/roussos_2024/variant_figures/roussos_2024.childhood.Astrocyte/rs3801278_count_position.png",4,220,900)</f>
        <v/>
      </c>
      <c r="T3774">
        <f>IMAGE("https://mitra.stanford.edu/kundaje/oak/projects/neuro-variants/variant_position/credible/roussos_2024/variant_figures/roussos_2024.childhood.Astrocyte/rs3801278_profile_position.png",4,220,900)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-0.0196949568</v>
      </c>
      <c r="G3775" t="n">
        <v>0.5377305261531449</v>
      </c>
      <c r="H3775" t="n">
        <v>0.040893559156862</v>
      </c>
      <c r="I3775" t="n">
        <v>0.008840722515994199</v>
      </c>
      <c r="J3775" t="n">
        <v>0.0059681100348819</v>
      </c>
      <c r="K3775" t="n">
        <v>0.7534965206617995</v>
      </c>
      <c r="L3775" t="b">
        <v>0</v>
      </c>
      <c r="M3775" t="b">
        <v>0</v>
      </c>
      <c r="N3775" t="inlineStr">
        <is>
          <t>ref</t>
        </is>
      </c>
      <c r="O3775" t="n">
        <v>100</v>
      </c>
      <c r="P3775" t="n">
        <v>0.01828</v>
      </c>
      <c r="Q3775" t="n">
        <v>10</v>
      </c>
      <c r="R3775" t="n">
        <v>0.02557</v>
      </c>
      <c r="S3775">
        <f>IMAGE("https://mitra.stanford.edu/kundaje/oak/projects/neuro-variants/variant_position/credible/roussos_2024/variant_figures/roussos_2024.childhood.Astrocyte/rs6466055_count_position.png",4,220,900)</f>
        <v/>
      </c>
      <c r="T3775">
        <f>IMAGE("https://mitra.stanford.edu/kundaje/oak/projects/neuro-variants/variant_position/credible/roussos_2024/variant_figures/roussos_2024.childhood.Astrocyte/rs6466055_profile_position.png",4,220,900)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0.0359877236</v>
      </c>
      <c r="G3776" t="n">
        <v>0.3211468538913766</v>
      </c>
      <c r="H3776" t="n">
        <v>0.0111763218685295</v>
      </c>
      <c r="I3776" t="n">
        <v>0.5878180269493851</v>
      </c>
      <c r="J3776" t="n">
        <v>0.0076648882171997</v>
      </c>
      <c r="K3776" t="n">
        <v>0.7249031358763274</v>
      </c>
      <c r="L3776" t="b">
        <v>0</v>
      </c>
      <c r="M3776" t="b">
        <v>0</v>
      </c>
      <c r="N3776" t="inlineStr">
        <is>
          <t>alt</t>
        </is>
      </c>
      <c r="O3776" t="n">
        <v>-90</v>
      </c>
      <c r="P3776" t="n">
        <v>0.01084</v>
      </c>
      <c r="Q3776" t="n">
        <v>80</v>
      </c>
      <c r="R3776" t="n">
        <v>0.07996</v>
      </c>
      <c r="S3776">
        <f>IMAGE("https://mitra.stanford.edu/kundaje/oak/projects/neuro-variants/variant_position/credible/roussos_2024/variant_figures/roussos_2024.childhood.Astrocyte/rs6466056_count_position.png",4,220,900)</f>
        <v/>
      </c>
      <c r="T3776">
        <f>IMAGE("https://mitra.stanford.edu/kundaje/oak/projects/neuro-variants/variant_position/credible/roussos_2024/variant_figures/roussos_2024.childhood.Astrocyte/rs6466056_profile_position.png",4,220,900)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0.0019696381999999</v>
      </c>
      <c r="G3777" t="n">
        <v>0.7625473513484773</v>
      </c>
      <c r="H3777" t="n">
        <v>0.0076682297233244</v>
      </c>
      <c r="I3777" t="n">
        <v>0.9275361843294568</v>
      </c>
      <c r="J3777" t="n">
        <v>0.0042392739651789</v>
      </c>
      <c r="K3777" t="n">
        <v>0.7908882428363658</v>
      </c>
      <c r="L3777" t="b">
        <v>0</v>
      </c>
      <c r="M3777" t="b">
        <v>0</v>
      </c>
      <c r="N3777" t="inlineStr">
        <is>
          <t>alt</t>
        </is>
      </c>
      <c r="O3777" t="n">
        <v>-95</v>
      </c>
      <c r="P3777" t="n">
        <v>0.007607</v>
      </c>
      <c r="Q3777" t="n">
        <v>45</v>
      </c>
      <c r="R3777" t="n">
        <v>0.0838</v>
      </c>
      <c r="S3777">
        <f>IMAGE("https://mitra.stanford.edu/kundaje/oak/projects/neuro-variants/variant_position/credible/roussos_2024/variant_figures/roussos_2024.childhood.Astrocyte/rs2057884_count_position.png",4,220,900)</f>
        <v/>
      </c>
      <c r="T3777">
        <f>IMAGE("https://mitra.stanford.edu/kundaje/oak/projects/neuro-variants/variant_position/credible/roussos_2024/variant_figures/roussos_2024.childhood.Astrocyte/rs2057884_profile_position.png",4,220,900)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-0.135882174</v>
      </c>
      <c r="G3778" t="n">
        <v>0.0388295377039263</v>
      </c>
      <c r="H3778" t="n">
        <v>0.0228817158855309</v>
      </c>
      <c r="I3778" t="n">
        <v>0.0796343505639891</v>
      </c>
      <c r="J3778" t="n">
        <v>0.0028569683924495</v>
      </c>
      <c r="K3778" t="n">
        <v>0.8355096496839132</v>
      </c>
      <c r="L3778" t="b">
        <v>0</v>
      </c>
      <c r="M3778" t="b">
        <v>0</v>
      </c>
      <c r="N3778" t="inlineStr">
        <is>
          <t>ref</t>
        </is>
      </c>
      <c r="O3778" t="n">
        <v>-10</v>
      </c>
      <c r="P3778" t="n">
        <v>0.000847</v>
      </c>
      <c r="Q3778" t="n">
        <v>60</v>
      </c>
      <c r="R3778" t="n">
        <v>0.01454</v>
      </c>
      <c r="S3778">
        <f>IMAGE("https://mitra.stanford.edu/kundaje/oak/projects/neuro-variants/variant_position/credible/roussos_2024/variant_figures/roussos_2024.childhood.Astrocyte/rs4730430_count_position.png",4,220,900)</f>
        <v/>
      </c>
      <c r="T3778">
        <f>IMAGE("https://mitra.stanford.edu/kundaje/oak/projects/neuro-variants/variant_position/credible/roussos_2024/variant_figures/roussos_2024.childhood.Astrocyte/rs4730430_profile_position.png",4,220,900)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-0.00594364742</v>
      </c>
      <c r="G3779" t="n">
        <v>0.8296479803476416</v>
      </c>
      <c r="H3779" t="n">
        <v>0.0286211178194049</v>
      </c>
      <c r="I3779" t="n">
        <v>0.0360893526188154</v>
      </c>
      <c r="J3779" t="n">
        <v>0.0007449642401898</v>
      </c>
      <c r="K3779" t="n">
        <v>0.9198944800407418</v>
      </c>
      <c r="L3779" t="b">
        <v>0</v>
      </c>
      <c r="M3779" t="b">
        <v>0</v>
      </c>
      <c r="N3779" t="inlineStr">
        <is>
          <t>ref</t>
        </is>
      </c>
      <c r="O3779" t="n">
        <v>-80</v>
      </c>
      <c r="P3779" t="n">
        <v>0.002197</v>
      </c>
      <c r="Q3779" t="n">
        <v>85</v>
      </c>
      <c r="R3779" t="n">
        <v>0.06076</v>
      </c>
      <c r="S3779">
        <f>IMAGE("https://mitra.stanford.edu/kundaje/oak/projects/neuro-variants/variant_position/credible/roussos_2024/variant_figures/roussos_2024.childhood.Astrocyte/rs55634663_count_position.png",4,220,900)</f>
        <v/>
      </c>
      <c r="T3779">
        <f>IMAGE("https://mitra.stanford.edu/kundaje/oak/projects/neuro-variants/variant_position/credible/roussos_2024/variant_figures/roussos_2024.childhood.Astrocyte/rs55634663_profile_position.png",4,220,900)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0.1188089792</v>
      </c>
      <c r="G3780" t="n">
        <v>0.0530328878224379</v>
      </c>
      <c r="H3780" t="n">
        <v>0.0177649752172226</v>
      </c>
      <c r="I3780" t="n">
        <v>0.1997488795136028</v>
      </c>
      <c r="J3780" t="n">
        <v>0.1047346446535839</v>
      </c>
      <c r="K3780" t="n">
        <v>0.3274901239782175</v>
      </c>
      <c r="L3780" t="b">
        <v>0</v>
      </c>
      <c r="M3780" t="b">
        <v>0</v>
      </c>
      <c r="N3780" t="inlineStr">
        <is>
          <t>alt</t>
        </is>
      </c>
      <c r="O3780" t="n">
        <v>85</v>
      </c>
      <c r="P3780" t="n">
        <v>0.02135</v>
      </c>
      <c r="Q3780" t="n">
        <v>-80</v>
      </c>
      <c r="R3780" t="n">
        <v>0.1736</v>
      </c>
      <c r="S3780">
        <f>IMAGE("https://mitra.stanford.edu/kundaje/oak/projects/neuro-variants/variant_position/credible/roussos_2024/variant_figures/roussos_2024.childhood.Astrocyte/rs211792_count_position.png",4,220,900)</f>
        <v/>
      </c>
      <c r="T3780">
        <f>IMAGE("https://mitra.stanford.edu/kundaje/oak/projects/neuro-variants/variant_position/credible/roussos_2024/variant_figures/roussos_2024.childhood.Astrocyte/rs211792_profile_position.png",4,220,900)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0.0431215242</v>
      </c>
      <c r="G3781" t="n">
        <v>0.2531914439603042</v>
      </c>
      <c r="H3781" t="n">
        <v>0.013784086957538</v>
      </c>
      <c r="I3781" t="n">
        <v>0.371624883810036</v>
      </c>
      <c r="J3781" t="n">
        <v>0.0581911718684405</v>
      </c>
      <c r="K3781" t="n">
        <v>0.4207810506574521</v>
      </c>
      <c r="L3781" t="b">
        <v>0</v>
      </c>
      <c r="M3781" t="b">
        <v>0</v>
      </c>
      <c r="N3781" t="inlineStr">
        <is>
          <t>alt</t>
        </is>
      </c>
      <c r="O3781" t="n">
        <v>10</v>
      </c>
      <c r="P3781" t="n">
        <v>0.006836</v>
      </c>
      <c r="Q3781" t="n">
        <v>100</v>
      </c>
      <c r="R3781" t="n">
        <v>0.0611</v>
      </c>
      <c r="S3781">
        <f>IMAGE("https://mitra.stanford.edu/kundaje/oak/projects/neuro-variants/variant_position/credible/roussos_2024/variant_figures/roussos_2024.childhood.Astrocyte/rs56680698_count_position.png",4,220,900)</f>
        <v/>
      </c>
      <c r="T3781">
        <f>IMAGE("https://mitra.stanford.edu/kundaje/oak/projects/neuro-variants/variant_position/credible/roussos_2024/variant_figures/roussos_2024.childhood.Astrocyte/rs56680698_profile_position.png",4,220,900)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-0.0273437512</v>
      </c>
      <c r="G3782" t="n">
        <v>0.4278970539224561</v>
      </c>
      <c r="H3782" t="n">
        <v>0.0261720452291524</v>
      </c>
      <c r="I3782" t="n">
        <v>0.0506196245692825</v>
      </c>
      <c r="J3782" t="n">
        <v>0.023670933418821</v>
      </c>
      <c r="K3782" t="n">
        <v>0.5642169018410317</v>
      </c>
      <c r="L3782" t="b">
        <v>0</v>
      </c>
      <c r="M3782" t="b">
        <v>0</v>
      </c>
      <c r="N3782" t="inlineStr">
        <is>
          <t>ref</t>
        </is>
      </c>
      <c r="O3782" t="n">
        <v>-65</v>
      </c>
      <c r="P3782" t="n">
        <v>0.004272</v>
      </c>
      <c r="Q3782" t="n">
        <v>-70</v>
      </c>
      <c r="R3782" t="n">
        <v>0.06067</v>
      </c>
      <c r="S3782">
        <f>IMAGE("https://mitra.stanford.edu/kundaje/oak/projects/neuro-variants/variant_position/credible/roussos_2024/variant_figures/roussos_2024.childhood.Astrocyte/rs1525674_count_position.png",4,220,900)</f>
        <v/>
      </c>
      <c r="T3782">
        <f>IMAGE("https://mitra.stanford.edu/kundaje/oak/projects/neuro-variants/variant_position/credible/roussos_2024/variant_figures/roussos_2024.childhood.Astrocyte/rs1525674_profile_position.png",4,220,900)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0.0015837342799999</v>
      </c>
      <c r="G3783" t="n">
        <v>0.4741333453447152</v>
      </c>
      <c r="H3783" t="n">
        <v>0.0117255121885929</v>
      </c>
      <c r="I3783" t="n">
        <v>0.5374432835777391</v>
      </c>
      <c r="J3783" t="n">
        <v>0.0007190126170685</v>
      </c>
      <c r="K3783" t="n">
        <v>0.9277395577975174</v>
      </c>
      <c r="L3783" t="b">
        <v>0</v>
      </c>
      <c r="M3783" t="b">
        <v>0</v>
      </c>
      <c r="N3783" t="inlineStr">
        <is>
          <t>alt</t>
        </is>
      </c>
      <c r="O3783" t="n">
        <v>60</v>
      </c>
      <c r="P3783" t="n">
        <v>0.002144</v>
      </c>
      <c r="Q3783" t="n">
        <v>70</v>
      </c>
      <c r="R3783" t="n">
        <v>0.1807</v>
      </c>
      <c r="S3783">
        <f>IMAGE("https://mitra.stanford.edu/kundaje/oak/projects/neuro-variants/variant_position/credible/roussos_2024/variant_figures/roussos_2024.childhood.Astrocyte/rs214475_count_position.png",4,220,900)</f>
        <v/>
      </c>
      <c r="T3783">
        <f>IMAGE("https://mitra.stanford.edu/kundaje/oak/projects/neuro-variants/variant_position/credible/roussos_2024/variant_figures/roussos_2024.childhood.Astrocyte/rs214475_profile_position.png",4,220,900)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0.114629774</v>
      </c>
      <c r="G3784" t="n">
        <v>0.0550847106363259</v>
      </c>
      <c r="H3784" t="n">
        <v>0.0220834715489478</v>
      </c>
      <c r="I3784" t="n">
        <v>0.0974196408999943</v>
      </c>
      <c r="J3784" t="n">
        <v>0.0051513971895918</v>
      </c>
      <c r="K3784" t="n">
        <v>0.774718925901543</v>
      </c>
      <c r="L3784" t="b">
        <v>0</v>
      </c>
      <c r="M3784" t="b">
        <v>0</v>
      </c>
      <c r="N3784" t="inlineStr">
        <is>
          <t>alt</t>
        </is>
      </c>
      <c r="O3784" t="n">
        <v>85</v>
      </c>
      <c r="P3784" t="n">
        <v>0.0009136</v>
      </c>
      <c r="Q3784" t="n">
        <v>25</v>
      </c>
      <c r="R3784" t="n">
        <v>0.00903</v>
      </c>
      <c r="S3784">
        <f>IMAGE("https://mitra.stanford.edu/kundaje/oak/projects/neuro-variants/variant_position/credible/roussos_2024/variant_figures/roussos_2024.childhood.Astrocyte/rs6959670_count_position.png",4,220,900)</f>
        <v/>
      </c>
      <c r="T3784">
        <f>IMAGE("https://mitra.stanford.edu/kundaje/oak/projects/neuro-variants/variant_position/credible/roussos_2024/variant_figures/roussos_2024.childhood.Astrocyte/rs6959670_profile_position.png",4,220,900)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-0.0495787969999999</v>
      </c>
      <c r="G3785" t="n">
        <v>0.2350123986303241</v>
      </c>
      <c r="H3785" t="n">
        <v>0.0119755809132265</v>
      </c>
      <c r="I3785" t="n">
        <v>0.521704175152508</v>
      </c>
      <c r="J3785" t="n">
        <v>0.0577019074442993</v>
      </c>
      <c r="K3785" t="n">
        <v>0.4209068301358807</v>
      </c>
      <c r="L3785" t="b">
        <v>0</v>
      </c>
      <c r="M3785" t="b">
        <v>0</v>
      </c>
      <c r="N3785" t="inlineStr">
        <is>
          <t>ref</t>
        </is>
      </c>
      <c r="O3785" t="n">
        <v>-95</v>
      </c>
      <c r="P3785" t="n">
        <v>0.003052</v>
      </c>
      <c r="Q3785" t="n">
        <v>-30</v>
      </c>
      <c r="R3785" t="n">
        <v>0.0232</v>
      </c>
      <c r="S3785">
        <f>IMAGE("https://mitra.stanford.edu/kundaje/oak/projects/neuro-variants/variant_position/credible/roussos_2024/variant_figures/roussos_2024.childhood.Astrocyte/rs13239254_count_position.png",4,220,900)</f>
        <v/>
      </c>
      <c r="T3785">
        <f>IMAGE("https://mitra.stanford.edu/kundaje/oak/projects/neuro-variants/variant_position/credible/roussos_2024/variant_figures/roussos_2024.childhood.Astrocyte/rs13239254_profile_position.png",4,220,900)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-0.06465657399999999</v>
      </c>
      <c r="G3786" t="n">
        <v>0.150267486277683</v>
      </c>
      <c r="H3786" t="n">
        <v>0.0224823668847136</v>
      </c>
      <c r="I3786" t="n">
        <v>0.0871182705756622</v>
      </c>
      <c r="J3786" t="n">
        <v>0.0171799745063466</v>
      </c>
      <c r="K3786" t="n">
        <v>0.6124268623659815</v>
      </c>
      <c r="L3786" t="b">
        <v>0</v>
      </c>
      <c r="M3786" t="b">
        <v>0</v>
      </c>
      <c r="N3786" t="inlineStr">
        <is>
          <t>ref</t>
        </is>
      </c>
      <c r="O3786" t="n">
        <v>-100</v>
      </c>
      <c r="P3786" t="n">
        <v>0.006508</v>
      </c>
      <c r="Q3786" t="n">
        <v>-10</v>
      </c>
      <c r="R3786" t="n">
        <v>0.0321</v>
      </c>
      <c r="S3786">
        <f>IMAGE("https://mitra.stanford.edu/kundaje/oak/projects/neuro-variants/variant_position/credible/roussos_2024/variant_figures/roussos_2024.childhood.Astrocyte/rs35426637_count_position.png",4,220,900)</f>
        <v/>
      </c>
      <c r="T3786">
        <f>IMAGE("https://mitra.stanford.edu/kundaje/oak/projects/neuro-variants/variant_position/credible/roussos_2024/variant_figures/roussos_2024.childhood.Astrocyte/rs35426637_profile_position.png",4,220,900)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0.013484913</v>
      </c>
      <c r="G3787" t="n">
        <v>0.3476315458130431</v>
      </c>
      <c r="H3787" t="n">
        <v>0.014651185074206</v>
      </c>
      <c r="I3787" t="n">
        <v>0.3238806120056937</v>
      </c>
      <c r="J3787" t="n">
        <v>0.0036370436521566</v>
      </c>
      <c r="K3787" t="n">
        <v>0.8175056965610935</v>
      </c>
      <c r="L3787" t="b">
        <v>0</v>
      </c>
      <c r="M3787" t="b">
        <v>0</v>
      </c>
      <c r="N3787" t="inlineStr">
        <is>
          <t>alt</t>
        </is>
      </c>
      <c r="O3787" t="n">
        <v>-100</v>
      </c>
      <c r="P3787" t="n">
        <v>0.01581</v>
      </c>
      <c r="Q3787" t="n">
        <v>25</v>
      </c>
      <c r="R3787" t="n">
        <v>0.005676</v>
      </c>
      <c r="S3787">
        <f>IMAGE("https://mitra.stanford.edu/kundaje/oak/projects/neuro-variants/variant_position/credible/roussos_2024/variant_figures/roussos_2024.childhood.Astrocyte/rs59369558_count_position.png",4,220,900)</f>
        <v/>
      </c>
      <c r="T3787">
        <f>IMAGE("https://mitra.stanford.edu/kundaje/oak/projects/neuro-variants/variant_position/credible/roussos_2024/variant_figures/roussos_2024.childhood.Astrocyte/rs59369558_profile_position.png",4,220,900)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0.2817310979999999</v>
      </c>
      <c r="G3788" t="n">
        <v>0.0070476099214281</v>
      </c>
      <c r="H3788" t="n">
        <v>0.0318213365675914</v>
      </c>
      <c r="I3788" t="n">
        <v>0.0255508090193936</v>
      </c>
      <c r="J3788" t="n">
        <v>0.0728042255348705</v>
      </c>
      <c r="K3788" t="n">
        <v>0.385166317363257</v>
      </c>
      <c r="L3788" t="b">
        <v>1</v>
      </c>
      <c r="M3788" t="b">
        <v>1</v>
      </c>
      <c r="N3788" t="inlineStr">
        <is>
          <t>alt</t>
        </is>
      </c>
      <c r="O3788" t="n">
        <v>85</v>
      </c>
      <c r="P3788" t="n">
        <v>0.008659999999999999</v>
      </c>
      <c r="Q3788" t="n">
        <v>-20</v>
      </c>
      <c r="R3788" t="n">
        <v>0.03516</v>
      </c>
      <c r="S3788">
        <f>IMAGE("https://mitra.stanford.edu/kundaje/oak/projects/neuro-variants/variant_position/credible/roussos_2024/variant_figures/roussos_2024.childhood.Astrocyte/rs12706031_count_position.png",4,220,900)</f>
        <v/>
      </c>
      <c r="T3788">
        <f>IMAGE("https://mitra.stanford.edu/kundaje/oak/projects/neuro-variants/variant_position/credible/roussos_2024/variant_figures/roussos_2024.childhood.Astrocyte/rs12706031_profile_position.png",4,220,900)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-0.0334565921711999</v>
      </c>
      <c r="G3789" t="n">
        <v>0.1849369673495874</v>
      </c>
      <c r="H3789" t="n">
        <v>0.014776878355875</v>
      </c>
      <c r="I3789" t="n">
        <v>0.3101565063648192</v>
      </c>
      <c r="J3789" t="n">
        <v>0.126799630571012</v>
      </c>
      <c r="K3789" t="n">
        <v>0.2859068933557842</v>
      </c>
      <c r="L3789" t="b">
        <v>0</v>
      </c>
      <c r="M3789" t="b">
        <v>0</v>
      </c>
      <c r="N3789" t="inlineStr">
        <is>
          <t>ref</t>
        </is>
      </c>
      <c r="O3789" t="n">
        <v>-70</v>
      </c>
      <c r="P3789" t="n">
        <v>0.04663</v>
      </c>
      <c r="Q3789" t="n">
        <v>-65</v>
      </c>
      <c r="R3789" t="n">
        <v>0.04346</v>
      </c>
      <c r="S3789">
        <f>IMAGE("https://mitra.stanford.edu/kundaje/oak/projects/neuro-variants/variant_position/credible/roussos_2024/variant_figures/roussos_2024.childhood.Astrocyte/rs2401924_count_position.png",4,220,900)</f>
        <v/>
      </c>
      <c r="T3789">
        <f>IMAGE("https://mitra.stanford.edu/kundaje/oak/projects/neuro-variants/variant_position/credible/roussos_2024/variant_figures/roussos_2024.childhood.Astrocyte/rs2401924_profile_position.png",4,220,900)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-0.09327490200000001</v>
      </c>
      <c r="G3790" t="n">
        <v>0.0799225748247171</v>
      </c>
      <c r="H3790" t="n">
        <v>0.0118297912985824</v>
      </c>
      <c r="I3790" t="n">
        <v>0.5356978266274516</v>
      </c>
      <c r="J3790" t="n">
        <v>0.08863013594070809</v>
      </c>
      <c r="K3790" t="n">
        <v>0.3465304264019909</v>
      </c>
      <c r="L3790" t="b">
        <v>0</v>
      </c>
      <c r="M3790" t="b">
        <v>0</v>
      </c>
      <c r="N3790" t="inlineStr">
        <is>
          <t>ref</t>
        </is>
      </c>
      <c r="O3790" t="n">
        <v>100</v>
      </c>
      <c r="P3790" t="n">
        <v>0.03033</v>
      </c>
      <c r="Q3790" t="n">
        <v>100</v>
      </c>
      <c r="R3790" t="n">
        <v>0.1909</v>
      </c>
      <c r="S3790">
        <f>IMAGE("https://mitra.stanford.edu/kundaje/oak/projects/neuro-variants/variant_position/credible/roussos_2024/variant_figures/roussos_2024.childhood.Astrocyte/rs62474713_count_position.png",4,220,900)</f>
        <v/>
      </c>
      <c r="T3790">
        <f>IMAGE("https://mitra.stanford.edu/kundaje/oak/projects/neuro-variants/variant_position/credible/roussos_2024/variant_figures/roussos_2024.childhood.Astrocyte/rs62474713_profile_position.png",4,220,900)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0.0451005082</v>
      </c>
      <c r="G3791" t="n">
        <v>0.2416112232325872</v>
      </c>
      <c r="H3791" t="n">
        <v>0.0165472866195501</v>
      </c>
      <c r="I3791" t="n">
        <v>0.2255196102402188</v>
      </c>
      <c r="J3791" t="n">
        <v>0.0018784395441673</v>
      </c>
      <c r="K3791" t="n">
        <v>0.8624498680504273</v>
      </c>
      <c r="L3791" t="b">
        <v>0</v>
      </c>
      <c r="M3791" t="b">
        <v>0</v>
      </c>
      <c r="N3791" t="inlineStr">
        <is>
          <t>alt</t>
        </is>
      </c>
      <c r="O3791" t="n">
        <v>-95</v>
      </c>
      <c r="P3791" t="n">
        <v>0.0999</v>
      </c>
      <c r="Q3791" t="n">
        <v>-100</v>
      </c>
      <c r="R3791" t="n">
        <v>0.08740000000000001</v>
      </c>
      <c r="S3791">
        <f>IMAGE("https://mitra.stanford.edu/kundaje/oak/projects/neuro-variants/variant_position/credible/roussos_2024/variant_figures/roussos_2024.childhood.Astrocyte/rs2401925_count_position.png",4,220,900)</f>
        <v/>
      </c>
      <c r="T3791">
        <f>IMAGE("https://mitra.stanford.edu/kundaje/oak/projects/neuro-variants/variant_position/credible/roussos_2024/variant_figures/roussos_2024.childhood.Astrocyte/rs2401925_profile_position.png",4,220,900)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-0.0141068189999999</v>
      </c>
      <c r="G3792" t="n">
        <v>0.5447325911262562</v>
      </c>
      <c r="H3792" t="n">
        <v>0.0258796582088993</v>
      </c>
      <c r="I3792" t="n">
        <v>0.0521084781851697</v>
      </c>
      <c r="J3792" t="n">
        <v>0.0049613397143794</v>
      </c>
      <c r="K3792" t="n">
        <v>0.7790627506165559</v>
      </c>
      <c r="L3792" t="b">
        <v>0</v>
      </c>
      <c r="M3792" t="b">
        <v>0</v>
      </c>
      <c r="N3792" t="inlineStr">
        <is>
          <t>ref</t>
        </is>
      </c>
      <c r="O3792" t="n">
        <v>30</v>
      </c>
      <c r="P3792" t="n">
        <v>0.01947</v>
      </c>
      <c r="Q3792" t="n">
        <v>70</v>
      </c>
      <c r="R3792" t="n">
        <v>0.0873</v>
      </c>
      <c r="S3792">
        <f>IMAGE("https://mitra.stanford.edu/kundaje/oak/projects/neuro-variants/variant_position/credible/roussos_2024/variant_figures/roussos_2024.childhood.Astrocyte/rs1358394_count_position.png",4,220,900)</f>
        <v/>
      </c>
      <c r="T3792">
        <f>IMAGE("https://mitra.stanford.edu/kundaje/oak/projects/neuro-variants/variant_position/credible/roussos_2024/variant_figures/roussos_2024.childhood.Astrocyte/rs1358394_profile_position.png",4,220,900)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-0.0014008234199999</v>
      </c>
      <c r="G3793" t="n">
        <v>0.8129747312683852</v>
      </c>
      <c r="H3793" t="n">
        <v>0.0242275233157554</v>
      </c>
      <c r="I3793" t="n">
        <v>0.06624907851855311</v>
      </c>
      <c r="J3793" t="n">
        <v>0.0057719462954057</v>
      </c>
      <c r="K3793" t="n">
        <v>0.7541125792352192</v>
      </c>
      <c r="L3793" t="b">
        <v>0</v>
      </c>
      <c r="M3793" t="b">
        <v>0</v>
      </c>
      <c r="N3793" t="inlineStr">
        <is>
          <t>ref</t>
        </is>
      </c>
      <c r="O3793" t="n">
        <v>75</v>
      </c>
      <c r="P3793" t="n">
        <v>0.002937</v>
      </c>
      <c r="Q3793" t="n">
        <v>-95</v>
      </c>
      <c r="R3793" t="n">
        <v>0.08409999999999999</v>
      </c>
      <c r="S3793">
        <f>IMAGE("https://mitra.stanford.edu/kundaje/oak/projects/neuro-variants/variant_position/credible/roussos_2024/variant_figures/roussos_2024.childhood.Astrocyte/rs4730682_count_position.png",4,220,900)</f>
        <v/>
      </c>
      <c r="T3793">
        <f>IMAGE("https://mitra.stanford.edu/kundaje/oak/projects/neuro-variants/variant_position/credible/roussos_2024/variant_figures/roussos_2024.childhood.Astrocyte/rs4730682_profile_position.png",4,220,900)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0.00226468248</v>
      </c>
      <c r="G3794" t="n">
        <v>0.6515638069942596</v>
      </c>
      <c r="H3794" t="n">
        <v>0.0312841130651963</v>
      </c>
      <c r="I3794" t="n">
        <v>0.0254843416809973</v>
      </c>
      <c r="J3794" t="n">
        <v>0.3709799790860448</v>
      </c>
      <c r="K3794" t="n">
        <v>0.09880114644734241</v>
      </c>
      <c r="L3794" t="b">
        <v>0</v>
      </c>
      <c r="M3794" t="b">
        <v>0</v>
      </c>
      <c r="N3794" t="inlineStr">
        <is>
          <t>alt</t>
        </is>
      </c>
      <c r="O3794" t="n">
        <v>-60</v>
      </c>
      <c r="P3794" t="n">
        <v>0.0974</v>
      </c>
      <c r="Q3794" t="n">
        <v>-75</v>
      </c>
      <c r="R3794" t="n">
        <v>0.2634</v>
      </c>
      <c r="S3794">
        <f>IMAGE("https://mitra.stanford.edu/kundaje/oak/projects/neuro-variants/variant_position/credible/roussos_2024/variant_figures/roussos_2024.childhood.Astrocyte/rs10269552_count_position.png",4,220,900)</f>
        <v/>
      </c>
      <c r="T3794">
        <f>IMAGE("https://mitra.stanford.edu/kundaje/oak/projects/neuro-variants/variant_position/credible/roussos_2024/variant_figures/roussos_2024.childhood.Astrocyte/rs10269552_profile_position.png",4,220,900)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0.160069084</v>
      </c>
      <c r="G3795" t="n">
        <v>0.026202107427879</v>
      </c>
      <c r="H3795" t="n">
        <v>0.0210354961767518</v>
      </c>
      <c r="I3795" t="n">
        <v>0.107781963356034</v>
      </c>
      <c r="J3795" t="n">
        <v>0.0595345500064878</v>
      </c>
      <c r="K3795" t="n">
        <v>0.4309180894158419</v>
      </c>
      <c r="L3795" t="b">
        <v>0</v>
      </c>
      <c r="M3795" t="b">
        <v>0</v>
      </c>
      <c r="N3795" t="inlineStr">
        <is>
          <t>alt</t>
        </is>
      </c>
      <c r="O3795" t="n">
        <v>-95</v>
      </c>
      <c r="P3795" t="n">
        <v>0.003418</v>
      </c>
      <c r="Q3795" t="n">
        <v>-95</v>
      </c>
      <c r="R3795" t="n">
        <v>0.04517</v>
      </c>
      <c r="S3795">
        <f>IMAGE("https://mitra.stanford.edu/kundaje/oak/projects/neuro-variants/variant_position/credible/roussos_2024/variant_figures/roussos_2024.childhood.Astrocyte/rs73238074_count_position.png",4,220,900)</f>
        <v/>
      </c>
      <c r="T3795">
        <f>IMAGE("https://mitra.stanford.edu/kundaje/oak/projects/neuro-variants/variant_position/credible/roussos_2024/variant_figures/roussos_2024.childhood.Astrocyte/rs73238074_profile_position.png",4,220,900)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-0.052638464</v>
      </c>
      <c r="G3796" t="n">
        <v>0.2199862012601019</v>
      </c>
      <c r="H3796" t="n">
        <v>0.010642425358959</v>
      </c>
      <c r="I3796" t="n">
        <v>0.6528194781229151</v>
      </c>
      <c r="J3796" t="n">
        <v>0.259528443742224</v>
      </c>
      <c r="K3796" t="n">
        <v>0.1589340568022429</v>
      </c>
      <c r="L3796" t="b">
        <v>0</v>
      </c>
      <c r="M3796" t="b">
        <v>0</v>
      </c>
      <c r="N3796" t="inlineStr">
        <is>
          <t>ref</t>
        </is>
      </c>
      <c r="O3796" t="n">
        <v>95</v>
      </c>
      <c r="P3796" t="n">
        <v>0.000717</v>
      </c>
      <c r="Q3796" t="n">
        <v>10</v>
      </c>
      <c r="R3796" t="n">
        <v>0.01611</v>
      </c>
      <c r="S3796">
        <f>IMAGE("https://mitra.stanford.edu/kundaje/oak/projects/neuro-variants/variant_position/credible/roussos_2024/variant_figures/roussos_2024.childhood.Astrocyte/rs3757753_count_position.png",4,220,900)</f>
        <v/>
      </c>
      <c r="T3796">
        <f>IMAGE("https://mitra.stanford.edu/kundaje/oak/projects/neuro-variants/variant_position/credible/roussos_2024/variant_figures/roussos_2024.childhood.Astrocyte/rs3757753_profile_position.png",4,220,900)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0.0416631483999999</v>
      </c>
      <c r="G3797" t="n">
        <v>0.2817928377980717</v>
      </c>
      <c r="H3797" t="n">
        <v>0.0154434729725734</v>
      </c>
      <c r="I3797" t="n">
        <v>0.2762164402238509</v>
      </c>
      <c r="J3797" t="n">
        <v>0.6805858960561166</v>
      </c>
      <c r="K3797" t="n">
        <v>0.0207057487059333</v>
      </c>
      <c r="L3797" t="b">
        <v>0</v>
      </c>
      <c r="M3797" t="b">
        <v>0</v>
      </c>
      <c r="N3797" t="inlineStr">
        <is>
          <t>alt</t>
        </is>
      </c>
      <c r="O3797" t="n">
        <v>-60</v>
      </c>
      <c r="P3797" t="n">
        <v>0.015564</v>
      </c>
      <c r="Q3797" t="n">
        <v>100</v>
      </c>
      <c r="R3797" t="n">
        <v>0.1599</v>
      </c>
      <c r="S3797">
        <f>IMAGE("https://mitra.stanford.edu/kundaje/oak/projects/neuro-variants/variant_position/credible/roussos_2024/variant_figures/roussos_2024.childhood.Astrocyte/rs322832_count_position.png",4,220,900)</f>
        <v/>
      </c>
      <c r="T3797">
        <f>IMAGE("https://mitra.stanford.edu/kundaje/oak/projects/neuro-variants/variant_position/credible/roussos_2024/variant_figures/roussos_2024.childhood.Astrocyte/rs322832_profile_position.png",4,220,900)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0.0588914796</v>
      </c>
      <c r="G3798" t="n">
        <v>0.1812345245374416</v>
      </c>
      <c r="H3798" t="n">
        <v>0.0303738497659209</v>
      </c>
      <c r="I3798" t="n">
        <v>0.0280542806314159</v>
      </c>
      <c r="J3798" t="n">
        <v>0.09870089227786551</v>
      </c>
      <c r="K3798" t="n">
        <v>0.3444657096584307</v>
      </c>
      <c r="L3798" t="b">
        <v>0</v>
      </c>
      <c r="M3798" t="b">
        <v>0</v>
      </c>
      <c r="N3798" t="inlineStr">
        <is>
          <t>alt</t>
        </is>
      </c>
      <c r="O3798" t="n">
        <v>-100</v>
      </c>
      <c r="P3798" t="n">
        <v>0.001305</v>
      </c>
      <c r="Q3798" t="n">
        <v>-15</v>
      </c>
      <c r="R3798" t="n">
        <v>0.01001</v>
      </c>
      <c r="S3798">
        <f>IMAGE("https://mitra.stanford.edu/kundaje/oak/projects/neuro-variants/variant_position/credible/roussos_2024/variant_figures/roussos_2024.childhood.Astrocyte/rs6954161_count_position.png",4,220,900)</f>
        <v/>
      </c>
      <c r="T3798">
        <f>IMAGE("https://mitra.stanford.edu/kundaje/oak/projects/neuro-variants/variant_position/credible/roussos_2024/variant_figures/roussos_2024.childhood.Astrocyte/rs6954161_profile_position.png",4,220,900)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0.06304372480000001</v>
      </c>
      <c r="G3799" t="n">
        <v>0.1526301109573047</v>
      </c>
      <c r="H3799" t="n">
        <v>0.0191476461272769</v>
      </c>
      <c r="I3799" t="n">
        <v>0.1451644497912313</v>
      </c>
      <c r="J3799" t="n">
        <v>0.0756779861540457</v>
      </c>
      <c r="K3799" t="n">
        <v>0.3939199295492712</v>
      </c>
      <c r="L3799" t="b">
        <v>0</v>
      </c>
      <c r="M3799" t="b">
        <v>0</v>
      </c>
      <c r="N3799" t="inlineStr">
        <is>
          <t>alt</t>
        </is>
      </c>
      <c r="O3799" t="n">
        <v>-50</v>
      </c>
      <c r="P3799" t="n">
        <v>0.003397</v>
      </c>
      <c r="Q3799" t="n">
        <v>100</v>
      </c>
      <c r="R3799" t="n">
        <v>0.1641</v>
      </c>
      <c r="S3799">
        <f>IMAGE("https://mitra.stanford.edu/kundaje/oak/projects/neuro-variants/variant_position/credible/roussos_2024/variant_figures/roussos_2024.childhood.Astrocyte/rs6954389_count_position.png",4,220,900)</f>
        <v/>
      </c>
      <c r="T3799">
        <f>IMAGE("https://mitra.stanford.edu/kundaje/oak/projects/neuro-variants/variant_position/credible/roussos_2024/variant_figures/roussos_2024.childhood.Astrocyte/rs6954389_profile_position.png",4,220,900)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-0.0021928787999999</v>
      </c>
      <c r="G3800" t="n">
        <v>0.4699839093188929</v>
      </c>
      <c r="H3800" t="n">
        <v>0.0107426037248642</v>
      </c>
      <c r="I3800" t="n">
        <v>0.6406335460608271</v>
      </c>
      <c r="J3800" t="n">
        <v>0.08499232900551849</v>
      </c>
      <c r="K3800" t="n">
        <v>0.3829782105798727</v>
      </c>
      <c r="L3800" t="b">
        <v>0</v>
      </c>
      <c r="M3800" t="b">
        <v>0</v>
      </c>
      <c r="N3800" t="inlineStr">
        <is>
          <t>ref</t>
        </is>
      </c>
      <c r="O3800" t="n">
        <v>-70</v>
      </c>
      <c r="P3800" t="n">
        <v>0.002165</v>
      </c>
      <c r="Q3800" t="n">
        <v>-50</v>
      </c>
      <c r="R3800" t="n">
        <v>0.04523</v>
      </c>
      <c r="S3800">
        <f>IMAGE("https://mitra.stanford.edu/kundaje/oak/projects/neuro-variants/variant_position/credible/roussos_2024/variant_figures/roussos_2024.childhood.Astrocyte/rs7792971_count_position.png",4,220,900)</f>
        <v/>
      </c>
      <c r="T3800">
        <f>IMAGE("https://mitra.stanford.edu/kundaje/oak/projects/neuro-variants/variant_position/credible/roussos_2024/variant_figures/roussos_2024.childhood.Astrocyte/rs7792971_profile_position.png",4,220,900)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-0.0149605507</v>
      </c>
      <c r="G3801" t="n">
        <v>0.5863725710333813</v>
      </c>
      <c r="H3801" t="n">
        <v>0.0113156460095491</v>
      </c>
      <c r="I3801" t="n">
        <v>0.5840417827764462</v>
      </c>
      <c r="J3801" t="n">
        <v>0.0798615404578171</v>
      </c>
      <c r="K3801" t="n">
        <v>0.3987943946162492</v>
      </c>
      <c r="L3801" t="b">
        <v>0</v>
      </c>
      <c r="M3801" t="b">
        <v>0</v>
      </c>
      <c r="N3801" t="inlineStr">
        <is>
          <t>ref</t>
        </is>
      </c>
      <c r="O3801" t="n">
        <v>-100</v>
      </c>
      <c r="P3801" t="n">
        <v>0.007534</v>
      </c>
      <c r="Q3801" t="n">
        <v>-85</v>
      </c>
      <c r="R3801" t="n">
        <v>0.09247</v>
      </c>
      <c r="S3801">
        <f>IMAGE("https://mitra.stanford.edu/kundaje/oak/projects/neuro-variants/variant_position/credible/roussos_2024/variant_figures/roussos_2024.childhood.Astrocyte/rs6467161_count_position.png",4,220,900)</f>
        <v/>
      </c>
      <c r="T3801">
        <f>IMAGE("https://mitra.stanford.edu/kundaje/oak/projects/neuro-variants/variant_position/credible/roussos_2024/variant_figures/roussos_2024.childhood.Astrocyte/rs6467161_profile_position.png",4,220,900)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-0.008588296400000001</v>
      </c>
      <c r="G3802" t="n">
        <v>0.5339798375758512</v>
      </c>
      <c r="H3802" t="n">
        <v>0.0147218121627276</v>
      </c>
      <c r="I3802" t="n">
        <v>0.3121718791212422</v>
      </c>
      <c r="J3802" t="n">
        <v>0.5365803393556364</v>
      </c>
      <c r="K3802" t="n">
        <v>0.0469578641330227</v>
      </c>
      <c r="L3802" t="b">
        <v>0</v>
      </c>
      <c r="M3802" t="b">
        <v>0</v>
      </c>
      <c r="N3802" t="inlineStr">
        <is>
          <t>ref</t>
        </is>
      </c>
      <c r="O3802" t="n">
        <v>10</v>
      </c>
      <c r="P3802" t="n">
        <v>0.0005493</v>
      </c>
      <c r="Q3802" t="n">
        <v>-100</v>
      </c>
      <c r="R3802" t="n">
        <v>0.0741</v>
      </c>
      <c r="S3802">
        <f>IMAGE("https://mitra.stanford.edu/kundaje/oak/projects/neuro-variants/variant_position/credible/roussos_2024/variant_figures/roussos_2024.childhood.Astrocyte/rs7803473_count_position.png",4,220,900)</f>
        <v/>
      </c>
      <c r="T3802">
        <f>IMAGE("https://mitra.stanford.edu/kundaje/oak/projects/neuro-variants/variant_position/credible/roussos_2024/variant_figures/roussos_2024.childhood.Astrocyte/rs7803473_profile_position.png",4,220,900)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-0.3683746099999999</v>
      </c>
      <c r="G3803" t="n">
        <v>0.0030566466380475</v>
      </c>
      <c r="H3803" t="n">
        <v>0.0534266639030027</v>
      </c>
      <c r="I3803" t="n">
        <v>0.0033330313929874</v>
      </c>
      <c r="J3803" t="n">
        <v>0.7500896857563752</v>
      </c>
      <c r="K3803" t="n">
        <v>0.0128468291255782</v>
      </c>
      <c r="L3803" t="b">
        <v>1</v>
      </c>
      <c r="M3803" t="b">
        <v>1</v>
      </c>
      <c r="N3803" t="inlineStr">
        <is>
          <t>ref</t>
        </is>
      </c>
      <c r="O3803" t="n">
        <v>30</v>
      </c>
      <c r="P3803" t="n">
        <v>0.00711</v>
      </c>
      <c r="Q3803" t="n">
        <v>50</v>
      </c>
      <c r="R3803" t="n">
        <v>0.1392</v>
      </c>
      <c r="S3803">
        <f>IMAGE("https://mitra.stanford.edu/kundaje/oak/projects/neuro-variants/variant_position/credible/roussos_2024/variant_figures/roussos_2024.childhood.Astrocyte/rs6467163_count_position.png",4,220,900)</f>
        <v/>
      </c>
      <c r="T3803">
        <f>IMAGE("https://mitra.stanford.edu/kundaje/oak/projects/neuro-variants/variant_position/credible/roussos_2024/variant_figures/roussos_2024.childhood.Astrocyte/rs6467163_profile_position.png",4,220,900)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0.116192112</v>
      </c>
      <c r="G3804" t="n">
        <v>0.0565166193384772</v>
      </c>
      <c r="H3804" t="n">
        <v>0.0168072294836965</v>
      </c>
      <c r="I3804" t="n">
        <v>0.2182466735820412</v>
      </c>
      <c r="J3804" t="n">
        <v>0.1506087182188026</v>
      </c>
      <c r="K3804" t="n">
        <v>0.2502997438816587</v>
      </c>
      <c r="L3804" t="b">
        <v>0</v>
      </c>
      <c r="M3804" t="b">
        <v>0</v>
      </c>
      <c r="N3804" t="inlineStr">
        <is>
          <t>alt</t>
        </is>
      </c>
      <c r="O3804" t="n">
        <v>-5</v>
      </c>
      <c r="P3804" t="n">
        <v>6.104e-05</v>
      </c>
      <c r="Q3804" t="n">
        <v>-15</v>
      </c>
      <c r="R3804" t="n">
        <v>0.013916</v>
      </c>
      <c r="S3804">
        <f>IMAGE("https://mitra.stanford.edu/kundaje/oak/projects/neuro-variants/variant_position/credible/roussos_2024/variant_figures/roussos_2024.childhood.Astrocyte/rs73239723_count_position.png",4,220,900)</f>
        <v/>
      </c>
      <c r="T3804">
        <f>IMAGE("https://mitra.stanford.edu/kundaje/oak/projects/neuro-variants/variant_position/credible/roussos_2024/variant_figures/roussos_2024.childhood.Astrocyte/rs73239723_profile_position.png",4,220,900)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-0.0250200639499999</v>
      </c>
      <c r="G3805" t="n">
        <v>0.4544395651787927</v>
      </c>
      <c r="H3805" t="n">
        <v>0.0096909765527145</v>
      </c>
      <c r="I3805" t="n">
        <v>0.7119313659983816</v>
      </c>
      <c r="J3805" t="n">
        <v>0.6439025134910276</v>
      </c>
      <c r="K3805" t="n">
        <v>0.0257085147330595</v>
      </c>
      <c r="L3805" t="b">
        <v>0</v>
      </c>
      <c r="M3805" t="b">
        <v>0</v>
      </c>
      <c r="N3805" t="inlineStr">
        <is>
          <t>ref</t>
        </is>
      </c>
      <c r="O3805" t="n">
        <v>100</v>
      </c>
      <c r="P3805" t="n">
        <v>0.02399</v>
      </c>
      <c r="Q3805" t="n">
        <v>40</v>
      </c>
      <c r="R3805" t="n">
        <v>0.5</v>
      </c>
      <c r="S3805">
        <f>IMAGE("https://mitra.stanford.edu/kundaje/oak/projects/neuro-variants/variant_position/credible/roussos_2024/variant_figures/roussos_2024.childhood.Astrocyte/rs142949934_count_position.png",4,220,900)</f>
        <v/>
      </c>
      <c r="T3805">
        <f>IMAGE("https://mitra.stanford.edu/kundaje/oak/projects/neuro-variants/variant_position/credible/roussos_2024/variant_figures/roussos_2024.childhood.Astrocyte/rs142949934_profile_position.png",4,220,900)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-0.0151384558</v>
      </c>
      <c r="G3806" t="n">
        <v>0.402903091216546</v>
      </c>
      <c r="H3806" t="n">
        <v>0.0235076353429087</v>
      </c>
      <c r="I3806" t="n">
        <v>0.0782720784161314</v>
      </c>
      <c r="J3806" t="n">
        <v>0.0055399082533793</v>
      </c>
      <c r="K3806" t="n">
        <v>0.761287331957647</v>
      </c>
      <c r="L3806" t="b">
        <v>0</v>
      </c>
      <c r="M3806" t="b">
        <v>0</v>
      </c>
      <c r="N3806" t="inlineStr">
        <is>
          <t>ref</t>
        </is>
      </c>
      <c r="O3806" t="n">
        <v>30</v>
      </c>
      <c r="P3806" t="n">
        <v>0.002563</v>
      </c>
      <c r="Q3806" t="n">
        <v>10</v>
      </c>
      <c r="R3806" t="n">
        <v>0.02376</v>
      </c>
      <c r="S3806">
        <f>IMAGE("https://mitra.stanford.edu/kundaje/oak/projects/neuro-variants/variant_position/credible/roussos_2024/variant_figures/roussos_2024.childhood.Astrocyte/rs2122628_count_position.png",4,220,900)</f>
        <v/>
      </c>
      <c r="T3806">
        <f>IMAGE("https://mitra.stanford.edu/kundaje/oak/projects/neuro-variants/variant_position/credible/roussos_2024/variant_figures/roussos_2024.childhood.Astrocyte/rs2122628_profile_position.png",4,220,900)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0.024598791</v>
      </c>
      <c r="G3807" t="n">
        <v>0.4421010802311608</v>
      </c>
      <c r="H3807" t="n">
        <v>0.0151523047199748</v>
      </c>
      <c r="I3807" t="n">
        <v>0.2887306084977404</v>
      </c>
      <c r="J3807" t="n">
        <v>0.0614740521932937</v>
      </c>
      <c r="K3807" t="n">
        <v>0.4255394652653222</v>
      </c>
      <c r="L3807" t="b">
        <v>0</v>
      </c>
      <c r="M3807" t="b">
        <v>0</v>
      </c>
      <c r="N3807" t="inlineStr">
        <is>
          <t>alt</t>
        </is>
      </c>
      <c r="O3807" t="n">
        <v>35</v>
      </c>
      <c r="P3807" t="n">
        <v>0.0007133</v>
      </c>
      <c r="Q3807" t="n">
        <v>80</v>
      </c>
      <c r="R3807" t="n">
        <v>0.04913</v>
      </c>
      <c r="S3807">
        <f>IMAGE("https://mitra.stanford.edu/kundaje/oak/projects/neuro-variants/variant_position/credible/roussos_2024/variant_figures/roussos_2024.childhood.Astrocyte/rs10245775_count_position.png",4,220,900)</f>
        <v/>
      </c>
      <c r="T3807">
        <f>IMAGE("https://mitra.stanford.edu/kundaje/oak/projects/neuro-variants/variant_position/credible/roussos_2024/variant_figures/roussos_2024.childhood.Astrocyte/rs10245775_profile_position.png",4,220,900)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-0.08156025959999991</v>
      </c>
      <c r="G3808" t="n">
        <v>0.1155158132368258</v>
      </c>
      <c r="H3808" t="n">
        <v>0.0234193002215986</v>
      </c>
      <c r="I3808" t="n">
        <v>0.0799836814783368</v>
      </c>
      <c r="J3808" t="n">
        <v>0.3994595956126491</v>
      </c>
      <c r="K3808" t="n">
        <v>0.087170649504685</v>
      </c>
      <c r="L3808" t="b">
        <v>0</v>
      </c>
      <c r="M3808" t="b">
        <v>0</v>
      </c>
      <c r="N3808" t="inlineStr">
        <is>
          <t>ref</t>
        </is>
      </c>
      <c r="O3808" t="n">
        <v>-70</v>
      </c>
      <c r="P3808" t="n">
        <v>0.00638</v>
      </c>
      <c r="Q3808" t="n">
        <v>-5</v>
      </c>
      <c r="R3808" t="n">
        <v>0.06884999999999999</v>
      </c>
      <c r="S3808">
        <f>IMAGE("https://mitra.stanford.edu/kundaje/oak/projects/neuro-variants/variant_position/credible/roussos_2024/variant_figures/roussos_2024.childhood.Astrocyte/rs6944918_count_position.png",4,220,900)</f>
        <v/>
      </c>
      <c r="T3808">
        <f>IMAGE("https://mitra.stanford.edu/kundaje/oak/projects/neuro-variants/variant_position/credible/roussos_2024/variant_figures/roussos_2024.childhood.Astrocyte/rs6944918_profile_position.png",4,220,900)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-0.0162666812</v>
      </c>
      <c r="G3809" t="n">
        <v>0.5186166452850112</v>
      </c>
      <c r="H3809" t="n">
        <v>0.019429847446608</v>
      </c>
      <c r="I3809" t="n">
        <v>0.1365473508445764</v>
      </c>
      <c r="J3809" t="n">
        <v>0.3501438788517169</v>
      </c>
      <c r="K3809" t="n">
        <v>0.1080492519648322</v>
      </c>
      <c r="L3809" t="b">
        <v>0</v>
      </c>
      <c r="M3809" t="b">
        <v>0</v>
      </c>
      <c r="N3809" t="inlineStr">
        <is>
          <t>ref</t>
        </is>
      </c>
      <c r="O3809" t="n">
        <v>90</v>
      </c>
      <c r="P3809" t="n">
        <v>0.0007133</v>
      </c>
      <c r="Q3809" t="n">
        <v>-85</v>
      </c>
      <c r="R3809" t="n">
        <v>0.1161</v>
      </c>
      <c r="S3809">
        <f>IMAGE("https://mitra.stanford.edu/kundaje/oak/projects/neuro-variants/variant_position/credible/roussos_2024/variant_figures/roussos_2024.childhood.Astrocyte/rs6945544_count_position.png",4,220,900)</f>
        <v/>
      </c>
      <c r="T3809">
        <f>IMAGE("https://mitra.stanford.edu/kundaje/oak/projects/neuro-variants/variant_position/credible/roussos_2024/variant_figures/roussos_2024.childhood.Astrocyte/rs6945544_profile_position.png",4,220,900)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0.16769934</v>
      </c>
      <c r="G3810" t="n">
        <v>0.0259064428649027</v>
      </c>
      <c r="H3810" t="n">
        <v>0.0208770774151854</v>
      </c>
      <c r="I3810" t="n">
        <v>0.1119876127866414</v>
      </c>
      <c r="J3810" t="n">
        <v>0.0312823918237121</v>
      </c>
      <c r="K3810" t="n">
        <v>0.549844165318036</v>
      </c>
      <c r="L3810" t="b">
        <v>0</v>
      </c>
      <c r="M3810" t="b">
        <v>0</v>
      </c>
      <c r="N3810" t="inlineStr">
        <is>
          <t>alt</t>
        </is>
      </c>
      <c r="O3810" t="n">
        <v>-90</v>
      </c>
      <c r="P3810" t="n">
        <v>0.01552</v>
      </c>
      <c r="Q3810" t="n">
        <v>-70</v>
      </c>
      <c r="R3810" t="n">
        <v>0.0337</v>
      </c>
      <c r="S3810">
        <f>IMAGE("https://mitra.stanford.edu/kundaje/oak/projects/neuro-variants/variant_position/credible/roussos_2024/variant_figures/roussos_2024.childhood.Astrocyte/rs11975170_count_position.png",4,220,900)</f>
        <v/>
      </c>
      <c r="T3810">
        <f>IMAGE("https://mitra.stanford.edu/kundaje/oak/projects/neuro-variants/variant_position/credible/roussos_2024/variant_figures/roussos_2024.childhood.Astrocyte/rs11975170_profile_position.png",4,220,900)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0.009153061800000001</v>
      </c>
      <c r="G3811" t="n">
        <v>0.5382552273476165</v>
      </c>
      <c r="H3811" t="n">
        <v>0.0264347425616929</v>
      </c>
      <c r="I3811" t="n">
        <v>0.0478417783649773</v>
      </c>
      <c r="J3811" t="n">
        <v>0.2638379397464374</v>
      </c>
      <c r="K3811" t="n">
        <v>0.1519390208420409</v>
      </c>
      <c r="L3811" t="b">
        <v>0</v>
      </c>
      <c r="M3811" t="b">
        <v>0</v>
      </c>
      <c r="N3811" t="inlineStr">
        <is>
          <t>alt</t>
        </is>
      </c>
      <c r="O3811" t="n">
        <v>90</v>
      </c>
      <c r="P3811" t="n">
        <v>0.06213</v>
      </c>
      <c r="Q3811" t="n">
        <v>90</v>
      </c>
      <c r="R3811" t="n">
        <v>0.1987</v>
      </c>
      <c r="S3811">
        <f>IMAGE("https://mitra.stanford.edu/kundaje/oak/projects/neuro-variants/variant_position/credible/roussos_2024/variant_figures/roussos_2024.childhood.Astrocyte/rs10954343_count_position.png",4,220,900)</f>
        <v/>
      </c>
      <c r="T3811">
        <f>IMAGE("https://mitra.stanford.edu/kundaje/oak/projects/neuro-variants/variant_position/credible/roussos_2024/variant_figures/roussos_2024.childhood.Astrocyte/rs10954343_profile_position.png",4,220,900)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0.14327327</v>
      </c>
      <c r="G3812" t="n">
        <v>0.0372739482298791</v>
      </c>
      <c r="H3812" t="n">
        <v>0.0195709869530067</v>
      </c>
      <c r="I3812" t="n">
        <v>0.1503343601993741</v>
      </c>
      <c r="J3812" t="n">
        <v>0.0768282536847487</v>
      </c>
      <c r="K3812" t="n">
        <v>0.3722230659393045</v>
      </c>
      <c r="L3812" t="b">
        <v>0</v>
      </c>
      <c r="M3812" t="b">
        <v>0</v>
      </c>
      <c r="N3812" t="inlineStr">
        <is>
          <t>alt</t>
        </is>
      </c>
      <c r="O3812" t="n">
        <v>35</v>
      </c>
      <c r="P3812" t="n">
        <v>0.0112</v>
      </c>
      <c r="Q3812" t="n">
        <v>35</v>
      </c>
      <c r="R3812" t="n">
        <v>0.02808</v>
      </c>
      <c r="S3812">
        <f>IMAGE("https://mitra.stanford.edu/kundaje/oak/projects/neuro-variants/variant_position/credible/roussos_2024/variant_figures/roussos_2024.childhood.Astrocyte/rs6955090_count_position.png",4,220,900)</f>
        <v/>
      </c>
      <c r="T3812">
        <f>IMAGE("https://mitra.stanford.edu/kundaje/oak/projects/neuro-variants/variant_position/credible/roussos_2024/variant_figures/roussos_2024.childhood.Astrocyte/rs6955090_profile_position.png",4,220,900)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0.0045056537999999</v>
      </c>
      <c r="G3813" t="n">
        <v>0.7350543010548596</v>
      </c>
      <c r="H3813" t="n">
        <v>0.0125105625570919</v>
      </c>
      <c r="I3813" t="n">
        <v>0.4712672176501881</v>
      </c>
      <c r="J3813" t="n">
        <v>0.3128078892934288</v>
      </c>
      <c r="K3813" t="n">
        <v>0.1253225581767942</v>
      </c>
      <c r="L3813" t="b">
        <v>0</v>
      </c>
      <c r="M3813" t="b">
        <v>0</v>
      </c>
      <c r="N3813" t="inlineStr">
        <is>
          <t>alt</t>
        </is>
      </c>
      <c r="O3813" t="n">
        <v>-100</v>
      </c>
      <c r="P3813" t="n">
        <v>0.1212</v>
      </c>
      <c r="Q3813" t="n">
        <v>-100</v>
      </c>
      <c r="R3813" t="n">
        <v>0.6973</v>
      </c>
      <c r="S3813">
        <f>IMAGE("https://mitra.stanford.edu/kundaje/oak/projects/neuro-variants/variant_position/credible/roussos_2024/variant_figures/roussos_2024.childhood.Astrocyte/rs73725651_count_position.png",4,220,900)</f>
        <v/>
      </c>
      <c r="T3813">
        <f>IMAGE("https://mitra.stanford.edu/kundaje/oak/projects/neuro-variants/variant_position/credible/roussos_2024/variant_figures/roussos_2024.childhood.Astrocyte/rs73725651_profile_position.png",4,220,900)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0.0262789796</v>
      </c>
      <c r="G3814" t="n">
        <v>0.4180664783404525</v>
      </c>
      <c r="H3814" t="n">
        <v>0.0163362501484051</v>
      </c>
      <c r="I3814" t="n">
        <v>0.2362185517647708</v>
      </c>
      <c r="J3814" t="n">
        <v>0.0203101982246036</v>
      </c>
      <c r="K3814" t="n">
        <v>0.613295991608386</v>
      </c>
      <c r="L3814" t="b">
        <v>0</v>
      </c>
      <c r="M3814" t="b">
        <v>0</v>
      </c>
      <c r="N3814" t="inlineStr">
        <is>
          <t>alt</t>
        </is>
      </c>
      <c r="O3814" t="n">
        <v>-25</v>
      </c>
      <c r="P3814" t="n">
        <v>0.007889999999999999</v>
      </c>
      <c r="Q3814" t="n">
        <v>-25</v>
      </c>
      <c r="R3814" t="n">
        <v>0.08119999999999999</v>
      </c>
      <c r="S3814">
        <f>IMAGE("https://mitra.stanford.edu/kundaje/oak/projects/neuro-variants/variant_position/credible/roussos_2024/variant_figures/roussos_2024.childhood.Astrocyte/rs7799455_count_position.png",4,220,900)</f>
        <v/>
      </c>
      <c r="T3814">
        <f>IMAGE("https://mitra.stanford.edu/kundaje/oak/projects/neuro-variants/variant_position/credible/roussos_2024/variant_figures/roussos_2024.childhood.Astrocyte/rs7799455_profile_position.png",4,220,900)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-0.140023033</v>
      </c>
      <c r="G3815" t="n">
        <v>0.037666735607479</v>
      </c>
      <c r="H3815" t="n">
        <v>0.0316329494092502</v>
      </c>
      <c r="I3815" t="n">
        <v>0.0303350515772141</v>
      </c>
      <c r="J3815" t="n">
        <v>0.1011380550021753</v>
      </c>
      <c r="K3815" t="n">
        <v>0.3270566715780898</v>
      </c>
      <c r="L3815" t="b">
        <v>0</v>
      </c>
      <c r="M3815" t="b">
        <v>0</v>
      </c>
      <c r="N3815" t="inlineStr">
        <is>
          <t>ref</t>
        </is>
      </c>
      <c r="O3815" t="n">
        <v>-85</v>
      </c>
      <c r="P3815" t="n">
        <v>0.009520000000000001</v>
      </c>
      <c r="Q3815" t="n">
        <v>-85</v>
      </c>
      <c r="R3815" t="n">
        <v>0.073</v>
      </c>
      <c r="S3815">
        <f>IMAGE("https://mitra.stanford.edu/kundaje/oak/projects/neuro-variants/variant_position/credible/roussos_2024/variant_figures/roussos_2024.childhood.Astrocyte/rs10260150_count_position.png",4,220,900)</f>
        <v/>
      </c>
      <c r="T3815">
        <f>IMAGE("https://mitra.stanford.edu/kundaje/oak/projects/neuro-variants/variant_position/credible/roussos_2024/variant_figures/roussos_2024.childhood.Astrocyte/rs10260150_profile_position.png",4,220,900)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0.0313589006</v>
      </c>
      <c r="G3816" t="n">
        <v>0.3348590126770836</v>
      </c>
      <c r="H3816" t="n">
        <v>0.013984523270951</v>
      </c>
      <c r="I3816" t="n">
        <v>0.3596700082671305</v>
      </c>
      <c r="J3816" t="n">
        <v>0.0444963476906871</v>
      </c>
      <c r="K3816" t="n">
        <v>0.4902260915087597</v>
      </c>
      <c r="L3816" t="b">
        <v>0</v>
      </c>
      <c r="M3816" t="b">
        <v>0</v>
      </c>
      <c r="N3816" t="inlineStr">
        <is>
          <t>alt</t>
        </is>
      </c>
      <c r="O3816" t="n">
        <v>5</v>
      </c>
      <c r="P3816" t="n">
        <v>0.001265</v>
      </c>
      <c r="Q3816" t="n">
        <v>-100</v>
      </c>
      <c r="R3816" t="n">
        <v>0.03052</v>
      </c>
      <c r="S3816">
        <f>IMAGE("https://mitra.stanford.edu/kundaje/oak/projects/neuro-variants/variant_position/credible/roussos_2024/variant_figures/roussos_2024.childhood.Astrocyte/rs11772439_count_position.png",4,220,900)</f>
        <v/>
      </c>
      <c r="T3816">
        <f>IMAGE("https://mitra.stanford.edu/kundaje/oak/projects/neuro-variants/variant_position/credible/roussos_2024/variant_figures/roussos_2024.childhood.Astrocyte/rs11772439_profile_position.png",4,220,900)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-0.0584375211999999</v>
      </c>
      <c r="G3817" t="n">
        <v>0.1166649196192761</v>
      </c>
      <c r="H3817" t="n">
        <v>0.0149495907066425</v>
      </c>
      <c r="I3817" t="n">
        <v>0.2958514817584883</v>
      </c>
      <c r="J3817" t="n">
        <v>0.1221710822590124</v>
      </c>
      <c r="K3817" t="n">
        <v>0.2915743635824346</v>
      </c>
      <c r="L3817" t="b">
        <v>0</v>
      </c>
      <c r="M3817" t="b">
        <v>0</v>
      </c>
      <c r="N3817" t="inlineStr">
        <is>
          <t>ref</t>
        </is>
      </c>
      <c r="O3817" t="n">
        <v>-20</v>
      </c>
      <c r="P3817" t="n">
        <v>0.001324</v>
      </c>
      <c r="Q3817" t="n">
        <v>-70</v>
      </c>
      <c r="R3817" t="n">
        <v>0.2072</v>
      </c>
      <c r="S3817">
        <f>IMAGE("https://mitra.stanford.edu/kundaje/oak/projects/neuro-variants/variant_position/credible/roussos_2024/variant_figures/roussos_2024.childhood.Astrocyte/rs10954356_count_position.png",4,220,900)</f>
        <v/>
      </c>
      <c r="T3817">
        <f>IMAGE("https://mitra.stanford.edu/kundaje/oak/projects/neuro-variants/variant_position/credible/roussos_2024/variant_figures/roussos_2024.childhood.Astrocyte/rs10954356_profile_position.png",4,220,900)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-0.0568356239999999</v>
      </c>
      <c r="G3818" t="n">
        <v>0.07216125029256271</v>
      </c>
      <c r="H3818" t="n">
        <v>0.0786282123699764</v>
      </c>
      <c r="I3818" t="n">
        <v>0.0009364022177533</v>
      </c>
      <c r="J3818" t="n">
        <v>0.852817659316251</v>
      </c>
      <c r="K3818" t="n">
        <v>0.0026580039199509</v>
      </c>
      <c r="L3818" t="b">
        <v>1</v>
      </c>
      <c r="M3818" t="b">
        <v>1</v>
      </c>
      <c r="N3818" t="inlineStr">
        <is>
          <t>ref</t>
        </is>
      </c>
      <c r="O3818" t="n">
        <v>90</v>
      </c>
      <c r="P3818" t="n">
        <v>0.03107</v>
      </c>
      <c r="Q3818" t="n">
        <v>85</v>
      </c>
      <c r="R3818" t="n">
        <v>0.3691</v>
      </c>
      <c r="S3818">
        <f>IMAGE("https://mitra.stanford.edu/kundaje/oak/projects/neuro-variants/variant_position/credible/roussos_2024/variant_figures/roussos_2024.childhood.Astrocyte/rs2122635_count_position.png",4,220,900)</f>
        <v/>
      </c>
      <c r="T3818">
        <f>IMAGE("https://mitra.stanford.edu/kundaje/oak/projects/neuro-variants/variant_position/credible/roussos_2024/variant_figures/roussos_2024.childhood.Astrocyte/rs2122635_profile_position.png",4,220,900)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-0.0059657922</v>
      </c>
      <c r="G3819" t="n">
        <v>0.300959365640403</v>
      </c>
      <c r="H3819" t="n">
        <v>0.0319705321370614</v>
      </c>
      <c r="I3819" t="n">
        <v>0.0230584538766432</v>
      </c>
      <c r="J3819" t="n">
        <v>0.0341523360277223</v>
      </c>
      <c r="K3819" t="n">
        <v>0.5285731637034093</v>
      </c>
      <c r="L3819" t="b">
        <v>0</v>
      </c>
      <c r="M3819" t="b">
        <v>0</v>
      </c>
      <c r="N3819" t="inlineStr">
        <is>
          <t>ref</t>
        </is>
      </c>
      <c r="O3819" t="n">
        <v>-5</v>
      </c>
      <c r="P3819" t="n">
        <v>0.0008545</v>
      </c>
      <c r="Q3819" t="n">
        <v>55</v>
      </c>
      <c r="R3819" t="n">
        <v>0.08545</v>
      </c>
      <c r="S3819">
        <f>IMAGE("https://mitra.stanford.edu/kundaje/oak/projects/neuro-variants/variant_position/credible/roussos_2024/variant_figures/roussos_2024.childhood.Astrocyte/rs11771579_count_position.png",4,220,900)</f>
        <v/>
      </c>
      <c r="T3819">
        <f>IMAGE("https://mitra.stanford.edu/kundaje/oak/projects/neuro-variants/variant_position/credible/roussos_2024/variant_figures/roussos_2024.childhood.Astrocyte/rs11771579_profile_position.png",4,220,900)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0.030746613</v>
      </c>
      <c r="G3820" t="n">
        <v>0.3602652338748617</v>
      </c>
      <c r="H3820" t="n">
        <v>0.0107554891903208</v>
      </c>
      <c r="I3820" t="n">
        <v>0.6313120150975591</v>
      </c>
      <c r="J3820" t="n">
        <v>0.0065039347240349</v>
      </c>
      <c r="K3820" t="n">
        <v>0.7654495656744502</v>
      </c>
      <c r="L3820" t="b">
        <v>0</v>
      </c>
      <c r="M3820" t="b">
        <v>0</v>
      </c>
      <c r="N3820" t="inlineStr">
        <is>
          <t>alt</t>
        </is>
      </c>
      <c r="O3820" t="n">
        <v>35</v>
      </c>
      <c r="P3820" t="n">
        <v>0.003054</v>
      </c>
      <c r="Q3820" t="n">
        <v>-100</v>
      </c>
      <c r="R3820" t="n">
        <v>0.158</v>
      </c>
      <c r="S3820">
        <f>IMAGE("https://mitra.stanford.edu/kundaje/oak/projects/neuro-variants/variant_position/credible/roussos_2024/variant_figures/roussos_2024.childhood.Astrocyte/rs4518583_count_position.png",4,220,900)</f>
        <v/>
      </c>
      <c r="T3820">
        <f>IMAGE("https://mitra.stanford.edu/kundaje/oak/projects/neuro-variants/variant_position/credible/roussos_2024/variant_figures/roussos_2024.childhood.Astrocyte/rs4518583_profile_position.png",4,220,900)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-0.00216458466</v>
      </c>
      <c r="G3821" t="n">
        <v>0.8538567903748778</v>
      </c>
      <c r="H3821" t="n">
        <v>0.0286140290871991</v>
      </c>
      <c r="I3821" t="n">
        <v>0.036108583166175</v>
      </c>
      <c r="J3821" t="n">
        <v>0.009089174356743101</v>
      </c>
      <c r="K3821" t="n">
        <v>0.7009967993315033</v>
      </c>
      <c r="L3821" t="b">
        <v>0</v>
      </c>
      <c r="M3821" t="b">
        <v>0</v>
      </c>
      <c r="N3821" t="inlineStr">
        <is>
          <t>ref</t>
        </is>
      </c>
      <c r="O3821" t="n">
        <v>95</v>
      </c>
      <c r="P3821" t="n">
        <v>0.01184</v>
      </c>
      <c r="Q3821" t="n">
        <v>95</v>
      </c>
      <c r="R3821" t="n">
        <v>0.0484</v>
      </c>
      <c r="S3821">
        <f>IMAGE("https://mitra.stanford.edu/kundaje/oak/projects/neuro-variants/variant_position/credible/roussos_2024/variant_figures/roussos_2024.childhood.Astrocyte/rs728055_count_position.png",4,220,900)</f>
        <v/>
      </c>
      <c r="T3821">
        <f>IMAGE("https://mitra.stanford.edu/kundaje/oak/projects/neuro-variants/variant_position/credible/roussos_2024/variant_figures/roussos_2024.childhood.Astrocyte/rs728055_profile_position.png",4,220,900)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-0.0536223512</v>
      </c>
      <c r="G3822" t="n">
        <v>0.2125068971149979</v>
      </c>
      <c r="H3822" t="n">
        <v>0.0125718783674689</v>
      </c>
      <c r="I3822" t="n">
        <v>0.4495855589687385</v>
      </c>
      <c r="J3822" t="n">
        <v>0.0148405120102584</v>
      </c>
      <c r="K3822" t="n">
        <v>0.6484206295376911</v>
      </c>
      <c r="L3822" t="b">
        <v>0</v>
      </c>
      <c r="M3822" t="b">
        <v>0</v>
      </c>
      <c r="N3822" t="inlineStr">
        <is>
          <t>ref</t>
        </is>
      </c>
      <c r="O3822" t="n">
        <v>85</v>
      </c>
      <c r="P3822" t="n">
        <v>0.00699</v>
      </c>
      <c r="Q3822" t="n">
        <v>5</v>
      </c>
      <c r="R3822" t="n">
        <v>0.02832</v>
      </c>
      <c r="S3822">
        <f>IMAGE("https://mitra.stanford.edu/kundaje/oak/projects/neuro-variants/variant_position/credible/roussos_2024/variant_figures/roussos_2024.childhood.Astrocyte/rs2278829_count_position.png",4,220,900)</f>
        <v/>
      </c>
      <c r="T3822">
        <f>IMAGE("https://mitra.stanford.edu/kundaje/oak/projects/neuro-variants/variant_position/credible/roussos_2024/variant_figures/roussos_2024.childhood.Astrocyte/rs2278829_profile_position.png",4,220,900)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-0.0063265872119999</v>
      </c>
      <c r="G3823" t="n">
        <v>0.5810943341479723</v>
      </c>
      <c r="H3823" t="n">
        <v>0.044276471657673</v>
      </c>
      <c r="I3823" t="n">
        <v>0.006470088647026</v>
      </c>
      <c r="J3823" t="n">
        <v>0.1434880508041186</v>
      </c>
      <c r="K3823" t="n">
        <v>0.262953926204526</v>
      </c>
      <c r="L3823" t="b">
        <v>1</v>
      </c>
      <c r="M3823" t="b">
        <v>1</v>
      </c>
      <c r="N3823" t="inlineStr">
        <is>
          <t>ref</t>
        </is>
      </c>
      <c r="O3823" t="n">
        <v>100</v>
      </c>
      <c r="P3823" t="n">
        <v>0.03693</v>
      </c>
      <c r="Q3823" t="n">
        <v>95</v>
      </c>
      <c r="R3823" t="n">
        <v>0.573</v>
      </c>
      <c r="S3823">
        <f>IMAGE("https://mitra.stanford.edu/kundaje/oak/projects/neuro-variants/variant_position/credible/roussos_2024/variant_figures/roussos_2024.childhood.Astrocyte/rs7779548_count_position.png",4,220,900)</f>
        <v/>
      </c>
      <c r="T3823">
        <f>IMAGE("https://mitra.stanford.edu/kundaje/oak/projects/neuro-variants/variant_position/credible/roussos_2024/variant_figures/roussos_2024.childhood.Astrocyte/rs7779548_profile_position.png",4,220,900)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0.0121519189</v>
      </c>
      <c r="G3824" t="n">
        <v>0.6322791756105199</v>
      </c>
      <c r="H3824" t="n">
        <v>0.0266537788676178</v>
      </c>
      <c r="I3824" t="n">
        <v>0.0459353804428064</v>
      </c>
      <c r="J3824" t="n">
        <v>0.0207177913642157</v>
      </c>
      <c r="K3824" t="n">
        <v>0.5932444486919025</v>
      </c>
      <c r="L3824" t="b">
        <v>0</v>
      </c>
      <c r="M3824" t="b">
        <v>0</v>
      </c>
      <c r="N3824" t="inlineStr">
        <is>
          <t>alt</t>
        </is>
      </c>
      <c r="O3824" t="n">
        <v>100</v>
      </c>
      <c r="P3824" t="n">
        <v>0.00792</v>
      </c>
      <c r="Q3824" t="n">
        <v>-90</v>
      </c>
      <c r="R3824" t="n">
        <v>0.08307</v>
      </c>
      <c r="S3824">
        <f>IMAGE("https://mitra.stanford.edu/kundaje/oak/projects/neuro-variants/variant_position/credible/roussos_2024/variant_figures/roussos_2024.childhood.Astrocyte/rs11766321_count_position.png",4,220,900)</f>
        <v/>
      </c>
      <c r="T3824">
        <f>IMAGE("https://mitra.stanford.edu/kundaje/oak/projects/neuro-variants/variant_position/credible/roussos_2024/variant_figures/roussos_2024.childhood.Astrocyte/rs11766321_profile_position.png",4,220,900)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0.1619440264</v>
      </c>
      <c r="G3825" t="n">
        <v>0.029477934248247</v>
      </c>
      <c r="H3825" t="n">
        <v>0.0239586818555674</v>
      </c>
      <c r="I3825" t="n">
        <v>0.0754314620092377</v>
      </c>
      <c r="J3825" t="n">
        <v>0.09016051842183589</v>
      </c>
      <c r="K3825" t="n">
        <v>0.342673948793367</v>
      </c>
      <c r="L3825" t="b">
        <v>0</v>
      </c>
      <c r="M3825" t="b">
        <v>0</v>
      </c>
      <c r="N3825" t="inlineStr">
        <is>
          <t>alt</t>
        </is>
      </c>
      <c r="O3825" t="n">
        <v>-100</v>
      </c>
      <c r="P3825" t="n">
        <v>0.05765</v>
      </c>
      <c r="Q3825" t="n">
        <v>-85</v>
      </c>
      <c r="R3825" t="n">
        <v>0.1445</v>
      </c>
      <c r="S3825">
        <f>IMAGE("https://mitra.stanford.edu/kundaje/oak/projects/neuro-variants/variant_position/credible/roussos_2024/variant_figures/roussos_2024.childhood.Astrocyte/rs13222414_count_position.png",4,220,900)</f>
        <v/>
      </c>
      <c r="T3825">
        <f>IMAGE("https://mitra.stanford.edu/kundaje/oak/projects/neuro-variants/variant_position/credible/roussos_2024/variant_figures/roussos_2024.childhood.Astrocyte/rs13222414_profile_position.png",4,220,900)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0.072891003</v>
      </c>
      <c r="G3826" t="n">
        <v>0.1223049457859538</v>
      </c>
      <c r="H3826" t="n">
        <v>0.0118590453724016</v>
      </c>
      <c r="I3826" t="n">
        <v>0.5229037726604076</v>
      </c>
      <c r="J3826" t="n">
        <v>0.0262889942219474</v>
      </c>
      <c r="K3826" t="n">
        <v>0.5790436399645671</v>
      </c>
      <c r="L3826" t="b">
        <v>0</v>
      </c>
      <c r="M3826" t="b">
        <v>0</v>
      </c>
      <c r="N3826" t="inlineStr">
        <is>
          <t>alt</t>
        </is>
      </c>
      <c r="O3826" t="n">
        <v>100</v>
      </c>
      <c r="P3826" t="n">
        <v>0.005287</v>
      </c>
      <c r="Q3826" t="n">
        <v>80</v>
      </c>
      <c r="R3826" t="n">
        <v>0.09607</v>
      </c>
      <c r="S3826">
        <f>IMAGE("https://mitra.stanford.edu/kundaje/oak/projects/neuro-variants/variant_position/credible/roussos_2024/variant_figures/roussos_2024.childhood.Astrocyte/rs17530005_count_position.png",4,220,900)</f>
        <v/>
      </c>
      <c r="T3826">
        <f>IMAGE("https://mitra.stanford.edu/kundaje/oak/projects/neuro-variants/variant_position/credible/roussos_2024/variant_figures/roussos_2024.childhood.Astrocyte/rs17530005_profile_position.png",4,220,900)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-0.008640726919999999</v>
      </c>
      <c r="G3827" t="n">
        <v>0.5985358449435796</v>
      </c>
      <c r="H3827" t="n">
        <v>0.0125080028031249</v>
      </c>
      <c r="I3827" t="n">
        <v>0.4717789026483397</v>
      </c>
      <c r="J3827" t="n">
        <v>0.002837123033592</v>
      </c>
      <c r="K3827" t="n">
        <v>0.8303539165361989</v>
      </c>
      <c r="L3827" t="b">
        <v>0</v>
      </c>
      <c r="M3827" t="b">
        <v>0</v>
      </c>
      <c r="N3827" t="inlineStr">
        <is>
          <t>ref</t>
        </is>
      </c>
      <c r="O3827" t="n">
        <v>55</v>
      </c>
      <c r="P3827" t="n">
        <v>0.022</v>
      </c>
      <c r="Q3827" t="n">
        <v>100</v>
      </c>
      <c r="R3827" t="n">
        <v>0.2236</v>
      </c>
      <c r="S3827">
        <f>IMAGE("https://mitra.stanford.edu/kundaje/oak/projects/neuro-variants/variant_position/credible/roussos_2024/variant_figures/roussos_2024.childhood.Astrocyte/rs7801613_count_position.png",4,220,900)</f>
        <v/>
      </c>
      <c r="T3827">
        <f>IMAGE("https://mitra.stanford.edu/kundaje/oak/projects/neuro-variants/variant_position/credible/roussos_2024/variant_figures/roussos_2024.childhood.Astrocyte/rs7801613_profile_position.png",4,220,900)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-0.01669356632</v>
      </c>
      <c r="G3828" t="n">
        <v>0.5357014203930562</v>
      </c>
      <c r="H3828" t="n">
        <v>0.0298325197306876</v>
      </c>
      <c r="I3828" t="n">
        <v>0.0303139002471099</v>
      </c>
      <c r="J3828" t="n">
        <v>0.0048880645432131</v>
      </c>
      <c r="K3828" t="n">
        <v>0.7769881340703149</v>
      </c>
      <c r="L3828" t="b">
        <v>0</v>
      </c>
      <c r="M3828" t="b">
        <v>0</v>
      </c>
      <c r="N3828" t="inlineStr">
        <is>
          <t>ref</t>
        </is>
      </c>
      <c r="O3828" t="n">
        <v>50</v>
      </c>
      <c r="P3828" t="n">
        <v>0.00659</v>
      </c>
      <c r="Q3828" t="n">
        <v>-70</v>
      </c>
      <c r="R3828" t="n">
        <v>0.1031</v>
      </c>
      <c r="S3828">
        <f>IMAGE("https://mitra.stanford.edu/kundaje/oak/projects/neuro-variants/variant_position/credible/roussos_2024/variant_figures/roussos_2024.childhood.Astrocyte/rs6942519_count_position.png",4,220,900)</f>
        <v/>
      </c>
      <c r="T3828">
        <f>IMAGE("https://mitra.stanford.edu/kundaje/oak/projects/neuro-variants/variant_position/credible/roussos_2024/variant_figures/roussos_2024.childhood.Astrocyte/rs6942519_profile_position.png",4,220,900)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0.0165631197</v>
      </c>
      <c r="G3829" t="n">
        <v>0.5593385453170671</v>
      </c>
      <c r="H3829" t="n">
        <v>0.0388668887213265</v>
      </c>
      <c r="I3829" t="n">
        <v>0.0111674131854498</v>
      </c>
      <c r="J3829" t="n">
        <v>0.0027233938616777</v>
      </c>
      <c r="K3829" t="n">
        <v>0.8304643751537617</v>
      </c>
      <c r="L3829" t="b">
        <v>0</v>
      </c>
      <c r="M3829" t="b">
        <v>0</v>
      </c>
      <c r="N3829" t="inlineStr">
        <is>
          <t>alt</t>
        </is>
      </c>
      <c r="O3829" t="n">
        <v>-95</v>
      </c>
      <c r="P3829" t="n">
        <v>0.02245</v>
      </c>
      <c r="Q3829" t="n">
        <v>-75</v>
      </c>
      <c r="R3829" t="n">
        <v>0.0688</v>
      </c>
      <c r="S3829">
        <f>IMAGE("https://mitra.stanford.edu/kundaje/oak/projects/neuro-variants/variant_position/credible/roussos_2024/variant_figures/roussos_2024.childhood.Astrocyte/rs2355784_count_position.png",4,220,900)</f>
        <v/>
      </c>
      <c r="T3829">
        <f>IMAGE("https://mitra.stanford.edu/kundaje/oak/projects/neuro-variants/variant_position/credible/roussos_2024/variant_figures/roussos_2024.childhood.Astrocyte/rs2355784_profile_position.png",4,220,900)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-0.0190496411</v>
      </c>
      <c r="G3830" t="n">
        <v>0.5641773984696706</v>
      </c>
      <c r="H3830" t="n">
        <v>0.045553753234083</v>
      </c>
      <c r="I3830" t="n">
        <v>0.0057909662833235</v>
      </c>
      <c r="J3830" t="n">
        <v>0.0013777258745314</v>
      </c>
      <c r="K3830" t="n">
        <v>0.8830412702231925</v>
      </c>
      <c r="L3830" t="b">
        <v>0</v>
      </c>
      <c r="M3830" t="b">
        <v>0</v>
      </c>
      <c r="N3830" t="inlineStr">
        <is>
          <t>ref</t>
        </is>
      </c>
      <c r="O3830" t="n">
        <v>60</v>
      </c>
      <c r="P3830" t="n">
        <v>0.004456</v>
      </c>
      <c r="Q3830" t="n">
        <v>65</v>
      </c>
      <c r="R3830" t="n">
        <v>0.1182</v>
      </c>
      <c r="S3830">
        <f>IMAGE("https://mitra.stanford.edu/kundaje/oak/projects/neuro-variants/variant_position/credible/roussos_2024/variant_figures/roussos_2024.childhood.Astrocyte/rs10230398_count_position.png",4,220,900)</f>
        <v/>
      </c>
      <c r="T3830">
        <f>IMAGE("https://mitra.stanford.edu/kundaje/oak/projects/neuro-variants/variant_position/credible/roussos_2024/variant_figures/roussos_2024.childhood.Astrocyte/rs10230398_profile_position.png",4,220,900)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-0.139677074</v>
      </c>
      <c r="G3831" t="n">
        <v>0.0373547073127086</v>
      </c>
      <c r="H3831" t="n">
        <v>0.0204011994393911</v>
      </c>
      <c r="I3831" t="n">
        <v>0.12064779676503</v>
      </c>
      <c r="J3831" t="n">
        <v>0.0003747719691938</v>
      </c>
      <c r="K3831" t="n">
        <v>0.9546367760781846</v>
      </c>
      <c r="L3831" t="b">
        <v>0</v>
      </c>
      <c r="M3831" t="b">
        <v>0</v>
      </c>
      <c r="N3831" t="inlineStr">
        <is>
          <t>ref</t>
        </is>
      </c>
      <c r="O3831" t="n">
        <v>-45</v>
      </c>
      <c r="P3831" t="n">
        <v>0.08550000000000001</v>
      </c>
      <c r="Q3831" t="n">
        <v>100</v>
      </c>
      <c r="R3831" t="n">
        <v>0.2302</v>
      </c>
      <c r="S3831">
        <f>IMAGE("https://mitra.stanford.edu/kundaje/oak/projects/neuro-variants/variant_position/credible/roussos_2024/variant_figures/roussos_2024.childhood.Astrocyte/rs801089_count_position.png",4,220,900)</f>
        <v/>
      </c>
      <c r="T3831">
        <f>IMAGE("https://mitra.stanford.edu/kundaje/oak/projects/neuro-variants/variant_position/credible/roussos_2024/variant_figures/roussos_2024.childhood.Astrocyte/rs801089_profile_position.png",4,220,900)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-0.04787093694</v>
      </c>
      <c r="G3832" t="n">
        <v>0.2112700755444362</v>
      </c>
      <c r="H3832" t="n">
        <v>0.0146708797131961</v>
      </c>
      <c r="I3832" t="n">
        <v>0.3266900644434184</v>
      </c>
      <c r="J3832" t="n">
        <v>0.0346851075847434</v>
      </c>
      <c r="K3832" t="n">
        <v>0.5372084232719634</v>
      </c>
      <c r="L3832" t="b">
        <v>0</v>
      </c>
      <c r="M3832" t="b">
        <v>0</v>
      </c>
      <c r="N3832" t="inlineStr">
        <is>
          <t>ref</t>
        </is>
      </c>
      <c r="O3832" t="n">
        <v>95</v>
      </c>
      <c r="P3832" t="n">
        <v>0.01247</v>
      </c>
      <c r="Q3832" t="n">
        <v>15</v>
      </c>
      <c r="R3832" t="n">
        <v>0.04834</v>
      </c>
      <c r="S3832">
        <f>IMAGE("https://mitra.stanford.edu/kundaje/oak/projects/neuro-variants/variant_position/credible/roussos_2024/variant_figures/roussos_2024.childhood.Astrocyte/rs6662_count_position.png",4,220,900)</f>
        <v/>
      </c>
      <c r="T3832">
        <f>IMAGE("https://mitra.stanford.edu/kundaje/oak/projects/neuro-variants/variant_position/credible/roussos_2024/variant_figures/roussos_2024.childhood.Astrocyte/rs6662_profile_position.png",4,220,900)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0.0433688422</v>
      </c>
      <c r="G3833" t="n">
        <v>0.252320332560308</v>
      </c>
      <c r="H3833" t="n">
        <v>0.0110990966041572</v>
      </c>
      <c r="I3833" t="n">
        <v>0.5989239624071186</v>
      </c>
      <c r="J3833" t="n">
        <v>0.0348789814751207</v>
      </c>
      <c r="K3833" t="n">
        <v>0.5375937869483119</v>
      </c>
      <c r="L3833" t="b">
        <v>0</v>
      </c>
      <c r="M3833" t="b">
        <v>0</v>
      </c>
      <c r="N3833" t="inlineStr">
        <is>
          <t>alt</t>
        </is>
      </c>
      <c r="O3833" t="n">
        <v>-20</v>
      </c>
      <c r="P3833" t="n">
        <v>0.000637</v>
      </c>
      <c r="Q3833" t="n">
        <v>50</v>
      </c>
      <c r="R3833" t="n">
        <v>0.112</v>
      </c>
      <c r="S3833">
        <f>IMAGE("https://mitra.stanford.edu/kundaje/oak/projects/neuro-variants/variant_position/credible/roussos_2024/variant_figures/roussos_2024.childhood.Astrocyte/rs246745_count_position.png",4,220,900)</f>
        <v/>
      </c>
      <c r="T3833">
        <f>IMAGE("https://mitra.stanford.edu/kundaje/oak/projects/neuro-variants/variant_position/credible/roussos_2024/variant_figures/roussos_2024.childhood.Astrocyte/rs246745_profile_position.png",4,220,900)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0.0660820768</v>
      </c>
      <c r="G3834" t="n">
        <v>0.1409624038165608</v>
      </c>
      <c r="H3834" t="n">
        <v>0.0111427378031242</v>
      </c>
      <c r="I3834" t="n">
        <v>0.5980854233655445</v>
      </c>
      <c r="J3834" t="n">
        <v>0.0040621923015272</v>
      </c>
      <c r="K3834" t="n">
        <v>0.8180213745684451</v>
      </c>
      <c r="L3834" t="b">
        <v>0</v>
      </c>
      <c r="M3834" t="b">
        <v>0</v>
      </c>
      <c r="N3834" t="inlineStr">
        <is>
          <t>alt</t>
        </is>
      </c>
      <c r="O3834" t="n">
        <v>-80</v>
      </c>
      <c r="P3834" t="n">
        <v>0.006832</v>
      </c>
      <c r="Q3834" t="n">
        <v>-80</v>
      </c>
      <c r="R3834" t="n">
        <v>0.11096</v>
      </c>
      <c r="S3834">
        <f>IMAGE("https://mitra.stanford.edu/kundaje/oak/projects/neuro-variants/variant_position/credible/roussos_2024/variant_figures/roussos_2024.childhood.Astrocyte/rs1089258_count_position.png",4,220,900)</f>
        <v/>
      </c>
      <c r="T3834">
        <f>IMAGE("https://mitra.stanford.edu/kundaje/oak/projects/neuro-variants/variant_position/credible/roussos_2024/variant_figures/roussos_2024.childhood.Astrocyte/rs1089258_profile_position.png",4,220,900)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-0.0418906183999999</v>
      </c>
      <c r="G3835" t="n">
        <v>0.2836026965717124</v>
      </c>
      <c r="H3835" t="n">
        <v>0.0114286661583673</v>
      </c>
      <c r="I3835" t="n">
        <v>0.5632418938741995</v>
      </c>
      <c r="J3835" t="n">
        <v>0.4021074244540618</v>
      </c>
      <c r="K3835" t="n">
        <v>0.0859692931762307</v>
      </c>
      <c r="L3835" t="b">
        <v>0</v>
      </c>
      <c r="M3835" t="b">
        <v>0</v>
      </c>
      <c r="N3835" t="inlineStr">
        <is>
          <t>ref</t>
        </is>
      </c>
      <c r="O3835" t="n">
        <v>100</v>
      </c>
      <c r="P3835" t="n">
        <v>0.01205</v>
      </c>
      <c r="Q3835" t="n">
        <v>-100</v>
      </c>
      <c r="R3835" t="n">
        <v>0.1973</v>
      </c>
      <c r="S3835">
        <f>IMAGE("https://mitra.stanford.edu/kundaje/oak/projects/neuro-variants/variant_position/credible/roussos_2024/variant_figures/roussos_2024.childhood.Astrocyte/rs10241251_count_position.png",4,220,900)</f>
        <v/>
      </c>
      <c r="T3835">
        <f>IMAGE("https://mitra.stanford.edu/kundaje/oak/projects/neuro-variants/variant_position/credible/roussos_2024/variant_figures/roussos_2024.childhood.Astrocyte/rs10241251_profile_position.png",4,220,900)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-0.0287926568</v>
      </c>
      <c r="G3836" t="n">
        <v>0.4074600818790302</v>
      </c>
      <c r="H3836" t="n">
        <v>0.009631007294287199</v>
      </c>
      <c r="I3836" t="n">
        <v>0.7544371921922401</v>
      </c>
      <c r="J3836" t="n">
        <v>0.2156656209689114</v>
      </c>
      <c r="K3836" t="n">
        <v>0.1891208862890159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0.003286</v>
      </c>
      <c r="Q3836" t="n">
        <v>-25</v>
      </c>
      <c r="R3836" t="n">
        <v>0.02954</v>
      </c>
      <c r="S3836">
        <f>IMAGE("https://mitra.stanford.edu/kundaje/oak/projects/neuro-variants/variant_position/credible/roussos_2024/variant_figures/roussos_2024.childhood.Astrocyte/rs10244667_count_position.png",4,220,900)</f>
        <v/>
      </c>
      <c r="T3836">
        <f>IMAGE("https://mitra.stanford.edu/kundaje/oak/projects/neuro-variants/variant_position/credible/roussos_2024/variant_figures/roussos_2024.childhood.Astrocyte/rs10244667_profile_position.png",4,220,900)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-0.0550014527999999</v>
      </c>
      <c r="G3837" t="n">
        <v>0.1988188946035747</v>
      </c>
      <c r="H3837" t="n">
        <v>0.0131899539706036</v>
      </c>
      <c r="I3837" t="n">
        <v>0.4065671557085858</v>
      </c>
      <c r="J3837" t="n">
        <v>0.1304557562989932</v>
      </c>
      <c r="K3837" t="n">
        <v>0.2798133281035216</v>
      </c>
      <c r="L3837" t="b">
        <v>0</v>
      </c>
      <c r="M3837" t="b">
        <v>0</v>
      </c>
      <c r="N3837" t="inlineStr">
        <is>
          <t>ref</t>
        </is>
      </c>
      <c r="O3837" t="n">
        <v>100</v>
      </c>
      <c r="P3837" t="n">
        <v>0.008449999999999999</v>
      </c>
      <c r="Q3837" t="n">
        <v>90</v>
      </c>
      <c r="R3837" t="n">
        <v>0.10876</v>
      </c>
      <c r="S3837">
        <f>IMAGE("https://mitra.stanford.edu/kundaje/oak/projects/neuro-variants/variant_position/credible/roussos_2024/variant_figures/roussos_2024.childhood.Astrocyte/rs2366647_count_position.png",4,220,900)</f>
        <v/>
      </c>
      <c r="T3837">
        <f>IMAGE("https://mitra.stanford.edu/kundaje/oak/projects/neuro-variants/variant_position/credible/roussos_2024/variant_figures/roussos_2024.childhood.Astrocyte/rs2366647_profile_position.png",4,220,900)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-0.251379724</v>
      </c>
      <c r="G3838" t="n">
        <v>0.0094270981159701</v>
      </c>
      <c r="H3838" t="n">
        <v>0.0310144681378664</v>
      </c>
      <c r="I3838" t="n">
        <v>0.0260035681974762</v>
      </c>
      <c r="J3838" t="n">
        <v>0.172620274323922</v>
      </c>
      <c r="K3838" t="n">
        <v>0.2262974996228967</v>
      </c>
      <c r="L3838" t="b">
        <v>1</v>
      </c>
      <c r="M3838" t="b">
        <v>1</v>
      </c>
      <c r="N3838" t="inlineStr">
        <is>
          <t>ref</t>
        </is>
      </c>
      <c r="O3838" t="n">
        <v>-10</v>
      </c>
      <c r="P3838" t="n">
        <v>0.002113</v>
      </c>
      <c r="Q3838" t="n">
        <v>-15</v>
      </c>
      <c r="R3838" t="n">
        <v>0.06238</v>
      </c>
      <c r="S3838">
        <f>IMAGE("https://mitra.stanford.edu/kundaje/oak/projects/neuro-variants/variant_position/credible/roussos_2024/variant_figures/roussos_2024.childhood.Astrocyte/rs13261217_count_position.png",4,220,900)</f>
        <v/>
      </c>
      <c r="T3838">
        <f>IMAGE("https://mitra.stanford.edu/kundaje/oak/projects/neuro-variants/variant_position/credible/roussos_2024/variant_figures/roussos_2024.childhood.Astrocyte/rs13261217_profile_position.png",4,220,900)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0.0518446376</v>
      </c>
      <c r="G3839" t="n">
        <v>0.1969781056035821</v>
      </c>
      <c r="H3839" t="n">
        <v>0.0108877014459298</v>
      </c>
      <c r="I3839" t="n">
        <v>0.6255249563027592</v>
      </c>
      <c r="J3839" t="n">
        <v>0.0403181363681466</v>
      </c>
      <c r="K3839" t="n">
        <v>0.4789375673658711</v>
      </c>
      <c r="L3839" t="b">
        <v>0</v>
      </c>
      <c r="M3839" t="b">
        <v>0</v>
      </c>
      <c r="N3839" t="inlineStr">
        <is>
          <t>alt</t>
        </is>
      </c>
      <c r="O3839" t="n">
        <v>-100</v>
      </c>
      <c r="P3839" t="n">
        <v>0.02588</v>
      </c>
      <c r="Q3839" t="n">
        <v>85</v>
      </c>
      <c r="R3839" t="n">
        <v>0.08840000000000001</v>
      </c>
      <c r="S3839">
        <f>IMAGE("https://mitra.stanford.edu/kundaje/oak/projects/neuro-variants/variant_position/credible/roussos_2024/variant_figures/roussos_2024.childhood.Astrocyte/rs7813162_count_position.png",4,220,900)</f>
        <v/>
      </c>
      <c r="T3839">
        <f>IMAGE("https://mitra.stanford.edu/kundaje/oak/projects/neuro-variants/variant_position/credible/roussos_2024/variant_figures/roussos_2024.childhood.Astrocyte/rs7813162_profile_position.png",4,220,900)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0.0103778848199999</v>
      </c>
      <c r="G3840" t="n">
        <v>0.7155403155190827</v>
      </c>
      <c r="H3840" t="n">
        <v>0.0104339276654644</v>
      </c>
      <c r="I3840" t="n">
        <v>0.6608663754252644</v>
      </c>
      <c r="J3840" t="n">
        <v>0.0463358598001724</v>
      </c>
      <c r="K3840" t="n">
        <v>0.4632485631470398</v>
      </c>
      <c r="L3840" t="b">
        <v>0</v>
      </c>
      <c r="M3840" t="b">
        <v>0</v>
      </c>
      <c r="N3840" t="inlineStr">
        <is>
          <t>alt</t>
        </is>
      </c>
      <c r="O3840" t="n">
        <v>85</v>
      </c>
      <c r="P3840" t="n">
        <v>0.00393</v>
      </c>
      <c r="Q3840" t="n">
        <v>75</v>
      </c>
      <c r="R3840" t="n">
        <v>0.05713</v>
      </c>
      <c r="S3840">
        <f>IMAGE("https://mitra.stanford.edu/kundaje/oak/projects/neuro-variants/variant_position/credible/roussos_2024/variant_figures/roussos_2024.childhood.Astrocyte/rs1230767_count_position.png",4,220,900)</f>
        <v/>
      </c>
      <c r="T3840">
        <f>IMAGE("https://mitra.stanford.edu/kundaje/oak/projects/neuro-variants/variant_position/credible/roussos_2024/variant_figures/roussos_2024.childhood.Astrocyte/rs1230767_profile_position.png",4,220,900)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0.00510600476</v>
      </c>
      <c r="G3841" t="n">
        <v>0.6819466891306116</v>
      </c>
      <c r="H3841" t="n">
        <v>0.0107529313015141</v>
      </c>
      <c r="I3841" t="n">
        <v>0.618017816078155</v>
      </c>
      <c r="J3841" t="n">
        <v>0.0285872394342545</v>
      </c>
      <c r="K3841" t="n">
        <v>0.5386563913822292</v>
      </c>
      <c r="L3841" t="b">
        <v>0</v>
      </c>
      <c r="M3841" t="b">
        <v>0</v>
      </c>
      <c r="N3841" t="inlineStr">
        <is>
          <t>alt</t>
        </is>
      </c>
      <c r="O3841" t="n">
        <v>-50</v>
      </c>
      <c r="P3841" t="n">
        <v>0.00143</v>
      </c>
      <c r="Q3841" t="n">
        <v>-35</v>
      </c>
      <c r="R3841" t="n">
        <v>0.03333</v>
      </c>
      <c r="S3841">
        <f>IMAGE("https://mitra.stanford.edu/kundaje/oak/projects/neuro-variants/variant_position/credible/roussos_2024/variant_figures/roussos_2024.childhood.Astrocyte/rs12679687_count_position.png",4,220,900)</f>
        <v/>
      </c>
      <c r="T3841">
        <f>IMAGE("https://mitra.stanford.edu/kundaje/oak/projects/neuro-variants/variant_position/credible/roussos_2024/variant_figures/roussos_2024.childhood.Astrocyte/rs12679687_profile_position.png",4,220,900)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0.01067390932</v>
      </c>
      <c r="G3842" t="n">
        <v>0.6995271993473771</v>
      </c>
      <c r="H3842" t="n">
        <v>0.0347097874751326</v>
      </c>
      <c r="I3842" t="n">
        <v>0.0168425912131279</v>
      </c>
      <c r="J3842" t="n">
        <v>0.0038057292024455</v>
      </c>
      <c r="K3842" t="n">
        <v>0.811214372900435</v>
      </c>
      <c r="L3842" t="b">
        <v>0</v>
      </c>
      <c r="M3842" t="b">
        <v>0</v>
      </c>
      <c r="N3842" t="inlineStr">
        <is>
          <t>alt</t>
        </is>
      </c>
      <c r="O3842" t="n">
        <v>-65</v>
      </c>
      <c r="P3842" t="n">
        <v>0.015144</v>
      </c>
      <c r="Q3842" t="n">
        <v>100</v>
      </c>
      <c r="R3842" t="n">
        <v>0.0906</v>
      </c>
      <c r="S3842">
        <f>IMAGE("https://mitra.stanford.edu/kundaje/oak/projects/neuro-variants/variant_position/credible/roussos_2024/variant_figures/roussos_2024.childhood.Astrocyte/rs2952245_count_position.png",4,220,900)</f>
        <v/>
      </c>
      <c r="T3842">
        <f>IMAGE("https://mitra.stanford.edu/kundaje/oak/projects/neuro-variants/variant_position/credible/roussos_2024/variant_figures/roussos_2024.childhood.Astrocyte/rs2952245_profile_position.png",4,220,900)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0.1146841239999999</v>
      </c>
      <c r="G3843" t="n">
        <v>0.0541392995118646</v>
      </c>
      <c r="H3843" t="n">
        <v>0.0378912763313875</v>
      </c>
      <c r="I3843" t="n">
        <v>0.0118584231699646</v>
      </c>
      <c r="J3843" t="n">
        <v>0.7065848427255311</v>
      </c>
      <c r="K3843" t="n">
        <v>0.0170503868407642</v>
      </c>
      <c r="L3843" t="b">
        <v>1</v>
      </c>
      <c r="M3843" t="b">
        <v>0</v>
      </c>
      <c r="N3843" t="inlineStr">
        <is>
          <t>alt</t>
        </is>
      </c>
      <c r="O3843" t="n">
        <v>100</v>
      </c>
      <c r="P3843" t="n">
        <v>0.008359999999999999</v>
      </c>
      <c r="Q3843" t="n">
        <v>95</v>
      </c>
      <c r="R3843" t="n">
        <v>0.345</v>
      </c>
      <c r="S3843">
        <f>IMAGE("https://mitra.stanford.edu/kundaje/oak/projects/neuro-variants/variant_position/credible/roussos_2024/variant_figures/roussos_2024.childhood.Astrocyte/rs11250001_count_position.png",4,220,900)</f>
        <v/>
      </c>
      <c r="T3843">
        <f>IMAGE("https://mitra.stanford.edu/kundaje/oak/projects/neuro-variants/variant_position/credible/roussos_2024/variant_figures/roussos_2024.childhood.Astrocyte/rs11250001_profile_position.png",4,220,900)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0.043733654</v>
      </c>
      <c r="G3844" t="n">
        <v>0.2523257527031696</v>
      </c>
      <c r="H3844" t="n">
        <v>0.0146819339490073</v>
      </c>
      <c r="I3844" t="n">
        <v>0.3129036507519632</v>
      </c>
      <c r="J3844" t="n">
        <v>0.0513971895918725</v>
      </c>
      <c r="K3844" t="n">
        <v>0.442612602066562</v>
      </c>
      <c r="L3844" t="b">
        <v>0</v>
      </c>
      <c r="M3844" t="b">
        <v>0</v>
      </c>
      <c r="N3844" t="inlineStr">
        <is>
          <t>alt</t>
        </is>
      </c>
      <c r="O3844" t="n">
        <v>55</v>
      </c>
      <c r="P3844" t="n">
        <v>0.01015</v>
      </c>
      <c r="Q3844" t="n">
        <v>-100</v>
      </c>
      <c r="R3844" t="n">
        <v>0.10114</v>
      </c>
      <c r="S3844">
        <f>IMAGE("https://mitra.stanford.edu/kundaje/oak/projects/neuro-variants/variant_position/credible/roussos_2024/variant_figures/roussos_2024.childhood.Astrocyte/rs35388602_count_position.png",4,220,900)</f>
        <v/>
      </c>
      <c r="T3844">
        <f>IMAGE("https://mitra.stanford.edu/kundaje/oak/projects/neuro-variants/variant_position/credible/roussos_2024/variant_figures/roussos_2024.childhood.Astrocyte/rs35388602_profile_position.png",4,220,900)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0.0230107357999999</v>
      </c>
      <c r="G3845" t="n">
        <v>0.4711874656216249</v>
      </c>
      <c r="H3845" t="n">
        <v>0.0209392612721329</v>
      </c>
      <c r="I3845" t="n">
        <v>0.110465471988391</v>
      </c>
      <c r="J3845" t="n">
        <v>0.0152259699419141</v>
      </c>
      <c r="K3845" t="n">
        <v>0.631504303066432</v>
      </c>
      <c r="L3845" t="b">
        <v>0</v>
      </c>
      <c r="M3845" t="b">
        <v>0</v>
      </c>
      <c r="N3845" t="inlineStr">
        <is>
          <t>alt</t>
        </is>
      </c>
      <c r="O3845" t="n">
        <v>95</v>
      </c>
      <c r="P3845" t="n">
        <v>0.00566</v>
      </c>
      <c r="Q3845" t="n">
        <v>-85</v>
      </c>
      <c r="R3845" t="n">
        <v>0.0505</v>
      </c>
      <c r="S3845">
        <f>IMAGE("https://mitra.stanford.edu/kundaje/oak/projects/neuro-variants/variant_position/credible/roussos_2024/variant_figures/roussos_2024.childhood.Astrocyte/rs7839817_count_position.png",4,220,900)</f>
        <v/>
      </c>
      <c r="T3845">
        <f>IMAGE("https://mitra.stanford.edu/kundaje/oak/projects/neuro-variants/variant_position/credible/roussos_2024/variant_figures/roussos_2024.childhood.Astrocyte/rs7839817_profile_position.png",4,220,900)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0.00251834849</v>
      </c>
      <c r="G3846" t="n">
        <v>0.8717715458747247</v>
      </c>
      <c r="H3846" t="n">
        <v>0.0061447527834826</v>
      </c>
      <c r="I3846" t="n">
        <v>0.9662880239922071</v>
      </c>
      <c r="J3846" t="n">
        <v>0.0513223878546403</v>
      </c>
      <c r="K3846" t="n">
        <v>0.4441254260338003</v>
      </c>
      <c r="L3846" t="b">
        <v>0</v>
      </c>
      <c r="M3846" t="b">
        <v>0</v>
      </c>
      <c r="N3846" t="inlineStr">
        <is>
          <t>alt</t>
        </is>
      </c>
      <c r="O3846" t="n">
        <v>-100</v>
      </c>
      <c r="P3846" t="n">
        <v>0.013435</v>
      </c>
      <c r="Q3846" t="n">
        <v>100</v>
      </c>
      <c r="R3846" t="n">
        <v>0.03915</v>
      </c>
      <c r="S3846">
        <f>IMAGE("https://mitra.stanford.edu/kundaje/oak/projects/neuro-variants/variant_position/credible/roussos_2024/variant_figures/roussos_2024.childhood.Astrocyte/rs5012670_count_position.png",4,220,900)</f>
        <v/>
      </c>
      <c r="T3846">
        <f>IMAGE("https://mitra.stanford.edu/kundaje/oak/projects/neuro-variants/variant_position/credible/roussos_2024/variant_figures/roussos_2024.childhood.Astrocyte/rs5012670_profile_position.png",4,220,900)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-0.0156716901</v>
      </c>
      <c r="G3847" t="n">
        <v>0.5598216557683827</v>
      </c>
      <c r="H3847" t="n">
        <v>0.0166220885014231</v>
      </c>
      <c r="I3847" t="n">
        <v>0.2208481385728013</v>
      </c>
      <c r="J3847" t="n">
        <v>0.0117736407837389</v>
      </c>
      <c r="K3847" t="n">
        <v>0.6747826185445579</v>
      </c>
      <c r="L3847" t="b">
        <v>0</v>
      </c>
      <c r="M3847" t="b">
        <v>0</v>
      </c>
      <c r="N3847" t="inlineStr">
        <is>
          <t>ref</t>
        </is>
      </c>
      <c r="O3847" t="n">
        <v>-100</v>
      </c>
      <c r="P3847" t="n">
        <v>0.006622</v>
      </c>
      <c r="Q3847" t="n">
        <v>-50</v>
      </c>
      <c r="R3847" t="n">
        <v>0.0801</v>
      </c>
      <c r="S3847">
        <f>IMAGE("https://mitra.stanford.edu/kundaje/oak/projects/neuro-variants/variant_position/credible/roussos_2024/variant_figures/roussos_2024.childhood.Astrocyte/rs13267233_count_position.png",4,220,900)</f>
        <v/>
      </c>
      <c r="T3847">
        <f>IMAGE("https://mitra.stanford.edu/kundaje/oak/projects/neuro-variants/variant_position/credible/roussos_2024/variant_figures/roussos_2024.childhood.Astrocyte/rs13267233_profile_position.png",4,220,900)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-0.0336228628</v>
      </c>
      <c r="G3848" t="n">
        <v>0.3501633423985757</v>
      </c>
      <c r="H3848" t="n">
        <v>0.0103405972409296</v>
      </c>
      <c r="I3848" t="n">
        <v>0.6572731709950737</v>
      </c>
      <c r="J3848" t="n">
        <v>0.0112423957927838</v>
      </c>
      <c r="K3848" t="n">
        <v>0.6789828099627296</v>
      </c>
      <c r="L3848" t="b">
        <v>0</v>
      </c>
      <c r="M3848" t="b">
        <v>0</v>
      </c>
      <c r="N3848" t="inlineStr">
        <is>
          <t>ref</t>
        </is>
      </c>
      <c r="O3848" t="n">
        <v>100</v>
      </c>
      <c r="P3848" t="n">
        <v>0.01019</v>
      </c>
      <c r="Q3848" t="n">
        <v>50</v>
      </c>
      <c r="R3848" t="n">
        <v>0.04657</v>
      </c>
      <c r="S3848">
        <f>IMAGE("https://mitra.stanford.edu/kundaje/oak/projects/neuro-variants/variant_position/credible/roussos_2024/variant_figures/roussos_2024.childhood.Astrocyte/rs13267570_count_position.png",4,220,900)</f>
        <v/>
      </c>
      <c r="T3848">
        <f>IMAGE("https://mitra.stanford.edu/kundaje/oak/projects/neuro-variants/variant_position/credible/roussos_2024/variant_figures/roussos_2024.childhood.Astrocyte/rs13267570_profile_position.png",4,220,900)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0.0363463848</v>
      </c>
      <c r="G3849" t="n">
        <v>0.1867635036739251</v>
      </c>
      <c r="H3849" t="n">
        <v>0.015317342376427</v>
      </c>
      <c r="I3849" t="n">
        <v>0.2865941025209371</v>
      </c>
      <c r="J3849" t="n">
        <v>0.5087830978605177</v>
      </c>
      <c r="K3849" t="n">
        <v>0.0539019965370512</v>
      </c>
      <c r="L3849" t="b">
        <v>0</v>
      </c>
      <c r="M3849" t="b">
        <v>0</v>
      </c>
      <c r="N3849" t="inlineStr">
        <is>
          <t>alt</t>
        </is>
      </c>
      <c r="O3849" t="n">
        <v>-20</v>
      </c>
      <c r="P3849" t="n">
        <v>0.002655</v>
      </c>
      <c r="Q3849" t="n">
        <v>-35</v>
      </c>
      <c r="R3849" t="n">
        <v>0.1074</v>
      </c>
      <c r="S3849">
        <f>IMAGE("https://mitra.stanford.edu/kundaje/oak/projects/neuro-variants/variant_position/credible/roussos_2024/variant_figures/roussos_2024.childhood.Astrocyte/rs13259407_count_position.png",4,220,900)</f>
        <v/>
      </c>
      <c r="T3849">
        <f>IMAGE("https://mitra.stanford.edu/kundaje/oak/projects/neuro-variants/variant_position/credible/roussos_2024/variant_figures/roussos_2024.childhood.Astrocyte/rs13259407_profile_position.png",4,220,900)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-0.10928825</v>
      </c>
      <c r="G3850" t="n">
        <v>0.0613039346383211</v>
      </c>
      <c r="H3850" t="n">
        <v>0.0173594331764027</v>
      </c>
      <c r="I3850" t="n">
        <v>0.2106913511139742</v>
      </c>
      <c r="J3850" t="n">
        <v>0.0149191301626555</v>
      </c>
      <c r="K3850" t="n">
        <v>0.6453531114721177</v>
      </c>
      <c r="L3850" t="b">
        <v>0</v>
      </c>
      <c r="M3850" t="b">
        <v>0</v>
      </c>
      <c r="N3850" t="inlineStr">
        <is>
          <t>ref</t>
        </is>
      </c>
      <c r="O3850" t="n">
        <v>100</v>
      </c>
      <c r="P3850" t="n">
        <v>0.02515</v>
      </c>
      <c r="Q3850" t="n">
        <v>55</v>
      </c>
      <c r="R3850" t="n">
        <v>0.2329</v>
      </c>
      <c r="S3850">
        <f>IMAGE("https://mitra.stanford.edu/kundaje/oak/projects/neuro-variants/variant_position/credible/roussos_2024/variant_figures/roussos_2024.childhood.Astrocyte/rs7018369_count_position.png",4,220,900)</f>
        <v/>
      </c>
      <c r="T3850">
        <f>IMAGE("https://mitra.stanford.edu/kundaje/oak/projects/neuro-variants/variant_position/credible/roussos_2024/variant_figures/roussos_2024.childhood.Astrocyte/rs7018369_profile_position.png",4,220,900)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0.00847072464</v>
      </c>
      <c r="G3851" t="n">
        <v>0.7590208929375937</v>
      </c>
      <c r="H3851" t="n">
        <v>0.0112834777069573</v>
      </c>
      <c r="I3851" t="n">
        <v>0.5874056077320499</v>
      </c>
      <c r="J3851" t="n">
        <v>0.07739308312915499</v>
      </c>
      <c r="K3851" t="n">
        <v>0.3712288112999804</v>
      </c>
      <c r="L3851" t="b">
        <v>0</v>
      </c>
      <c r="M3851" t="b">
        <v>0</v>
      </c>
      <c r="N3851" t="inlineStr">
        <is>
          <t>alt</t>
        </is>
      </c>
      <c r="O3851" t="n">
        <v>-50</v>
      </c>
      <c r="P3851" t="n">
        <v>0.01465</v>
      </c>
      <c r="Q3851" t="n">
        <v>100</v>
      </c>
      <c r="R3851" t="n">
        <v>0.165</v>
      </c>
      <c r="S3851">
        <f>IMAGE("https://mitra.stanford.edu/kundaje/oak/projects/neuro-variants/variant_position/credible/roussos_2024/variant_figures/roussos_2024.childhood.Astrocyte/rs3808573_count_position.png",4,220,900)</f>
        <v/>
      </c>
      <c r="T3851">
        <f>IMAGE("https://mitra.stanford.edu/kundaje/oak/projects/neuro-variants/variant_position/credible/roussos_2024/variant_figures/roussos_2024.childhood.Astrocyte/rs3808573_profile_position.png",4,220,900)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0.0865097344</v>
      </c>
      <c r="G3852" t="n">
        <v>0.0885812407391946</v>
      </c>
      <c r="H3852" t="n">
        <v>0.0156469179227157</v>
      </c>
      <c r="I3852" t="n">
        <v>0.2754434470358001</v>
      </c>
      <c r="J3852" t="n">
        <v>0.021569615229023</v>
      </c>
      <c r="K3852" t="n">
        <v>0.5864202959426257</v>
      </c>
      <c r="L3852" t="b">
        <v>0</v>
      </c>
      <c r="M3852" t="b">
        <v>0</v>
      </c>
      <c r="N3852" t="inlineStr">
        <is>
          <t>alt</t>
        </is>
      </c>
      <c r="O3852" t="n">
        <v>25</v>
      </c>
      <c r="P3852" t="n">
        <v>0.0063</v>
      </c>
      <c r="Q3852" t="n">
        <v>100</v>
      </c>
      <c r="R3852" t="n">
        <v>0.2236</v>
      </c>
      <c r="S3852">
        <f>IMAGE("https://mitra.stanford.edu/kundaje/oak/projects/neuro-variants/variant_position/credible/roussos_2024/variant_figures/roussos_2024.childhood.Astrocyte/rs3808566_count_position.png",4,220,900)</f>
        <v/>
      </c>
      <c r="T3852">
        <f>IMAGE("https://mitra.stanford.edu/kundaje/oak/projects/neuro-variants/variant_position/credible/roussos_2024/variant_figures/roussos_2024.childhood.Astrocyte/rs3808566_profile_position.png",4,220,900)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-0.059316308</v>
      </c>
      <c r="G3853" t="n">
        <v>0.1703961140762475</v>
      </c>
      <c r="H3853" t="n">
        <v>0.0340247953798324</v>
      </c>
      <c r="I3853" t="n">
        <v>0.0187346664403694</v>
      </c>
      <c r="J3853" t="n">
        <v>0.0968537473380503</v>
      </c>
      <c r="K3853" t="n">
        <v>0.3381941995725287</v>
      </c>
      <c r="L3853" t="b">
        <v>1</v>
      </c>
      <c r="M3853" t="b">
        <v>0</v>
      </c>
      <c r="N3853" t="inlineStr">
        <is>
          <t>ref</t>
        </is>
      </c>
      <c r="O3853" t="n">
        <v>70</v>
      </c>
      <c r="P3853" t="n">
        <v>0.003677</v>
      </c>
      <c r="Q3853" t="n">
        <v>65</v>
      </c>
      <c r="R3853" t="n">
        <v>0.1492</v>
      </c>
      <c r="S3853">
        <f>IMAGE("https://mitra.stanford.edu/kundaje/oak/projects/neuro-variants/variant_position/credible/roussos_2024/variant_figures/roussos_2024.childhood.Astrocyte/rs3824232_count_position.png",4,220,900)</f>
        <v/>
      </c>
      <c r="T3853">
        <f>IMAGE("https://mitra.stanford.edu/kundaje/oak/projects/neuro-variants/variant_position/credible/roussos_2024/variant_figures/roussos_2024.childhood.Astrocyte/rs3824232_profile_position.png",4,220,900)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0.050258926</v>
      </c>
      <c r="G3854" t="n">
        <v>0.2169858924398189</v>
      </c>
      <c r="H3854" t="n">
        <v>0.0118438605601241</v>
      </c>
      <c r="I3854" t="n">
        <v>0.5307025015335473</v>
      </c>
      <c r="J3854" t="n">
        <v>0.3822994664651599</v>
      </c>
      <c r="K3854" t="n">
        <v>0.0945571583548787</v>
      </c>
      <c r="L3854" t="b">
        <v>0</v>
      </c>
      <c r="M3854" t="b">
        <v>0</v>
      </c>
      <c r="N3854" t="inlineStr">
        <is>
          <t>alt</t>
        </is>
      </c>
      <c r="O3854" t="n">
        <v>-20</v>
      </c>
      <c r="P3854" t="n">
        <v>0.0024</v>
      </c>
      <c r="Q3854" t="n">
        <v>100</v>
      </c>
      <c r="R3854" t="n">
        <v>0.1648</v>
      </c>
      <c r="S3854">
        <f>IMAGE("https://mitra.stanford.edu/kundaje/oak/projects/neuro-variants/variant_position/credible/roussos_2024/variant_figures/roussos_2024.childhood.Astrocyte/rs56085315_count_position.png",4,220,900)</f>
        <v/>
      </c>
      <c r="T3854">
        <f>IMAGE("https://mitra.stanford.edu/kundaje/oak/projects/neuro-variants/variant_position/credible/roussos_2024/variant_figures/roussos_2024.childhood.Astrocyte/rs56085315_profile_position.png",4,220,900)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-0.0547143281999999</v>
      </c>
      <c r="G3855" t="n">
        <v>0.3378633573194062</v>
      </c>
      <c r="H3855" t="n">
        <v>0.0212125030927352</v>
      </c>
      <c r="I3855" t="n">
        <v>0.1820004354537769</v>
      </c>
      <c r="J3855" t="n">
        <v>0.0736873440040301</v>
      </c>
      <c r="K3855" t="n">
        <v>0.3794257660371113</v>
      </c>
      <c r="L3855" t="b">
        <v>0</v>
      </c>
      <c r="M3855" t="b">
        <v>0</v>
      </c>
      <c r="N3855" t="inlineStr">
        <is>
          <t>ref</t>
        </is>
      </c>
      <c r="O3855" t="n">
        <v>-70</v>
      </c>
      <c r="P3855" t="n">
        <v>0.02661</v>
      </c>
      <c r="Q3855" t="n">
        <v>-70</v>
      </c>
      <c r="R3855" t="n">
        <v>0.1985</v>
      </c>
      <c r="S3855">
        <f>IMAGE("https://mitra.stanford.edu/kundaje/oak/projects/neuro-variants/variant_position/credible/roussos_2024/variant_figures/roussos_2024.childhood.Astrocyte/rs3757908_count_position.png",4,220,900)</f>
        <v/>
      </c>
      <c r="T3855">
        <f>IMAGE("https://mitra.stanford.edu/kundaje/oak/projects/neuro-variants/variant_position/credible/roussos_2024/variant_figures/roussos_2024.childhood.Astrocyte/rs3757908_profile_position.png",4,220,900)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-0.0112173606599999</v>
      </c>
      <c r="G3856" t="n">
        <v>0.5523458965371322</v>
      </c>
      <c r="H3856" t="n">
        <v>0.0211767585752687</v>
      </c>
      <c r="I3856" t="n">
        <v>0.1061944813154109</v>
      </c>
      <c r="J3856" t="n">
        <v>0.0559799409218932</v>
      </c>
      <c r="K3856" t="n">
        <v>0.4389183538728357</v>
      </c>
      <c r="L3856" t="b">
        <v>0</v>
      </c>
      <c r="M3856" t="b">
        <v>0</v>
      </c>
      <c r="N3856" t="inlineStr">
        <is>
          <t>ref</t>
        </is>
      </c>
      <c r="O3856" t="n">
        <v>95</v>
      </c>
      <c r="P3856" t="n">
        <v>0.004436</v>
      </c>
      <c r="Q3856" t="n">
        <v>-100</v>
      </c>
      <c r="R3856" t="n">
        <v>0.05176</v>
      </c>
      <c r="S3856">
        <f>IMAGE("https://mitra.stanford.edu/kundaje/oak/projects/neuro-variants/variant_position/credible/roussos_2024/variant_figures/roussos_2024.childhood.Astrocyte/rs7005936_count_position.png",4,220,900)</f>
        <v/>
      </c>
      <c r="T3856">
        <f>IMAGE("https://mitra.stanford.edu/kundaje/oak/projects/neuro-variants/variant_position/credible/roussos_2024/variant_figures/roussos_2024.childhood.Astrocyte/rs7005936_profile_position.png",4,220,900)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0.0354779804</v>
      </c>
      <c r="G3857" t="n">
        <v>0.3306562488129955</v>
      </c>
      <c r="H3857" t="n">
        <v>0.0151163696744912</v>
      </c>
      <c r="I3857" t="n">
        <v>0.2972975679479543</v>
      </c>
      <c r="J3857" t="n">
        <v>0.2288650744582598</v>
      </c>
      <c r="K3857" t="n">
        <v>0.1804481608831817</v>
      </c>
      <c r="L3857" t="b">
        <v>0</v>
      </c>
      <c r="M3857" t="b">
        <v>0</v>
      </c>
      <c r="N3857" t="inlineStr">
        <is>
          <t>alt</t>
        </is>
      </c>
      <c r="O3857" t="n">
        <v>-80</v>
      </c>
      <c r="P3857" t="n">
        <v>0.00906</v>
      </c>
      <c r="Q3857" t="n">
        <v>-95</v>
      </c>
      <c r="R3857" t="n">
        <v>0.1322</v>
      </c>
      <c r="S3857">
        <f>IMAGE("https://mitra.stanford.edu/kundaje/oak/projects/neuro-variants/variant_position/credible/roussos_2024/variant_figures/roussos_2024.childhood.Astrocyte/rs1106359_count_position.png",4,220,900)</f>
        <v/>
      </c>
      <c r="T3857">
        <f>IMAGE("https://mitra.stanford.edu/kundaje/oak/projects/neuro-variants/variant_position/credible/roussos_2024/variant_figures/roussos_2024.childhood.Astrocyte/rs1106359_profile_position.png",4,220,900)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0.1265291812</v>
      </c>
      <c r="G3858" t="n">
        <v>0.0555884912326462</v>
      </c>
      <c r="H3858" t="n">
        <v>0.0216264835825075</v>
      </c>
      <c r="I3858" t="n">
        <v>0.0983801018511343</v>
      </c>
      <c r="J3858" t="n">
        <v>0.2545266500270965</v>
      </c>
      <c r="K3858" t="n">
        <v>0.1606193619242603</v>
      </c>
      <c r="L3858" t="b">
        <v>0</v>
      </c>
      <c r="M3858" t="b">
        <v>0</v>
      </c>
      <c r="N3858" t="inlineStr">
        <is>
          <t>alt</t>
        </is>
      </c>
      <c r="O3858" t="n">
        <v>-10</v>
      </c>
      <c r="P3858" t="n">
        <v>0.005096</v>
      </c>
      <c r="Q3858" t="n">
        <v>-25</v>
      </c>
      <c r="R3858" t="n">
        <v>0.07983</v>
      </c>
      <c r="S3858">
        <f>IMAGE("https://mitra.stanford.edu/kundaje/oak/projects/neuro-variants/variant_position/credible/roussos_2024/variant_figures/roussos_2024.childhood.Astrocyte/rs2565065_count_position.png",4,220,900)</f>
        <v/>
      </c>
      <c r="T3858">
        <f>IMAGE("https://mitra.stanford.edu/kundaje/oak/projects/neuro-variants/variant_position/credible/roussos_2024/variant_figures/roussos_2024.childhood.Astrocyte/rs2565065_profile_position.png",4,220,900)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0.0777071674</v>
      </c>
      <c r="G3859" t="n">
        <v>0.1119207336718534</v>
      </c>
      <c r="H3859" t="n">
        <v>0.0122672526980563</v>
      </c>
      <c r="I3859" t="n">
        <v>0.4834015874730111</v>
      </c>
      <c r="J3859" t="n">
        <v>0.5326677505285734</v>
      </c>
      <c r="K3859" t="n">
        <v>0.0478532661508797</v>
      </c>
      <c r="L3859" t="b">
        <v>0</v>
      </c>
      <c r="M3859" t="b">
        <v>0</v>
      </c>
      <c r="N3859" t="inlineStr">
        <is>
          <t>alt</t>
        </is>
      </c>
      <c r="O3859" t="n">
        <v>-100</v>
      </c>
      <c r="P3859" t="n">
        <v>0.00596</v>
      </c>
      <c r="Q3859" t="n">
        <v>-90</v>
      </c>
      <c r="R3859" t="n">
        <v>0.1924</v>
      </c>
      <c r="S3859">
        <f>IMAGE("https://mitra.stanford.edu/kundaje/oak/projects/neuro-variants/variant_position/credible/roussos_2024/variant_figures/roussos_2024.childhood.Astrocyte/rs867232_count_position.png",4,220,900)</f>
        <v/>
      </c>
      <c r="T3859">
        <f>IMAGE("https://mitra.stanford.edu/kundaje/oak/projects/neuro-variants/variant_position/credible/roussos_2024/variant_figures/roussos_2024.childhood.Astrocyte/rs867232_profile_position.png",4,220,900)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0.017232064466</v>
      </c>
      <c r="G3860" t="n">
        <v>0.5781659018868128</v>
      </c>
      <c r="H3860" t="n">
        <v>0.0322633202491385</v>
      </c>
      <c r="I3860" t="n">
        <v>0.0229510042614195</v>
      </c>
      <c r="J3860" t="n">
        <v>0.0066581178966972</v>
      </c>
      <c r="K3860" t="n">
        <v>0.7504472485108932</v>
      </c>
      <c r="L3860" t="b">
        <v>0</v>
      </c>
      <c r="M3860" t="b">
        <v>0</v>
      </c>
      <c r="N3860" t="inlineStr">
        <is>
          <t>alt</t>
        </is>
      </c>
      <c r="O3860" t="n">
        <v>15</v>
      </c>
      <c r="P3860" t="n">
        <v>0.0005035</v>
      </c>
      <c r="Q3860" t="n">
        <v>100</v>
      </c>
      <c r="R3860" t="n">
        <v>0.05966</v>
      </c>
      <c r="S3860">
        <f>IMAGE("https://mitra.stanford.edu/kundaje/oak/projects/neuro-variants/variant_position/credible/roussos_2024/variant_figures/roussos_2024.childhood.Astrocyte/rs2881131_count_position.png",4,220,900)</f>
        <v/>
      </c>
      <c r="T3860">
        <f>IMAGE("https://mitra.stanford.edu/kundaje/oak/projects/neuro-variants/variant_position/credible/roussos_2024/variant_figures/roussos_2024.childhood.Astrocyte/rs2881131_profile_position.png",4,220,900)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-0.2087688209999999</v>
      </c>
      <c r="G3861" t="n">
        <v>0.016193344509535</v>
      </c>
      <c r="H3861" t="n">
        <v>0.0256925617552525</v>
      </c>
      <c r="I3861" t="n">
        <v>0.0531426774039946</v>
      </c>
      <c r="J3861" t="n">
        <v>0.0367169670185401</v>
      </c>
      <c r="K3861" t="n">
        <v>0.5006132375040855</v>
      </c>
      <c r="L3861" t="b">
        <v>1</v>
      </c>
      <c r="M3861" t="b">
        <v>0</v>
      </c>
      <c r="N3861" t="inlineStr">
        <is>
          <t>ref</t>
        </is>
      </c>
      <c r="O3861" t="n">
        <v>95</v>
      </c>
      <c r="P3861" t="n">
        <v>0.02893</v>
      </c>
      <c r="Q3861" t="n">
        <v>0</v>
      </c>
      <c r="R3861" t="n">
        <v>0</v>
      </c>
      <c r="S3861">
        <f>IMAGE("https://mitra.stanford.edu/kundaje/oak/projects/neuro-variants/variant_position/credible/roussos_2024/variant_figures/roussos_2024.childhood.Astrocyte/rs2575065_count_position.png",4,220,900)</f>
        <v/>
      </c>
      <c r="T3861">
        <f>IMAGE("https://mitra.stanford.edu/kundaje/oak/projects/neuro-variants/variant_position/credible/roussos_2024/variant_figures/roussos_2024.childhood.Astrocyte/rs2575065_profile_position.png",4,220,900)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0.0078360071</v>
      </c>
      <c r="G3862" t="n">
        <v>0.7711555850750625</v>
      </c>
      <c r="H3862" t="n">
        <v>0.0233317002940036</v>
      </c>
      <c r="I3862" t="n">
        <v>0.07484673643545579</v>
      </c>
      <c r="J3862" t="n">
        <v>0.0006236022379457</v>
      </c>
      <c r="K3862" t="n">
        <v>0.9428257081923468</v>
      </c>
      <c r="L3862" t="b">
        <v>0</v>
      </c>
      <c r="M3862" t="b">
        <v>0</v>
      </c>
      <c r="N3862" t="inlineStr">
        <is>
          <t>alt</t>
        </is>
      </c>
      <c r="O3862" t="n">
        <v>-90</v>
      </c>
      <c r="P3862" t="n">
        <v>0.003624</v>
      </c>
      <c r="Q3862" t="n">
        <v>-90</v>
      </c>
      <c r="R3862" t="n">
        <v>0.1805</v>
      </c>
      <c r="S3862">
        <f>IMAGE("https://mitra.stanford.edu/kundaje/oak/projects/neuro-variants/variant_position/credible/roussos_2024/variant_figures/roussos_2024.childhood.Astrocyte/rs77184019_count_position.png",4,220,900)</f>
        <v/>
      </c>
      <c r="T3862">
        <f>IMAGE("https://mitra.stanford.edu/kundaje/oak/projects/neuro-variants/variant_position/credible/roussos_2024/variant_figures/roussos_2024.childhood.Astrocyte/rs77184019_profile_position.png",4,220,900)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-0.02633126208</v>
      </c>
      <c r="G3863" t="n">
        <v>0.4494535400572633</v>
      </c>
      <c r="H3863" t="n">
        <v>0.0100452554897492</v>
      </c>
      <c r="I3863" t="n">
        <v>0.7166883528552991</v>
      </c>
      <c r="J3863" t="n">
        <v>0.003824047995237</v>
      </c>
      <c r="K3863" t="n">
        <v>0.8155599344202091</v>
      </c>
      <c r="L3863" t="b">
        <v>0</v>
      </c>
      <c r="M3863" t="b">
        <v>0</v>
      </c>
      <c r="N3863" t="inlineStr">
        <is>
          <t>ref</t>
        </is>
      </c>
      <c r="O3863" t="n">
        <v>100</v>
      </c>
      <c r="P3863" t="n">
        <v>0.01924</v>
      </c>
      <c r="Q3863" t="n">
        <v>-100</v>
      </c>
      <c r="R3863" t="n">
        <v>0.04736</v>
      </c>
      <c r="S3863">
        <f>IMAGE("https://mitra.stanford.edu/kundaje/oak/projects/neuro-variants/variant_position/credible/roussos_2024/variant_figures/roussos_2024.childhood.Astrocyte/rs2716947_count_position.png",4,220,900)</f>
        <v/>
      </c>
      <c r="T3863">
        <f>IMAGE("https://mitra.stanford.edu/kundaje/oak/projects/neuro-variants/variant_position/credible/roussos_2024/variant_figures/roussos_2024.childhood.Astrocyte/rs2716947_profile_position.png",4,220,900)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-0.00227764416</v>
      </c>
      <c r="G3864" t="n">
        <v>0.8565597392388015</v>
      </c>
      <c r="H3864" t="n">
        <v>0.0221857329379345</v>
      </c>
      <c r="I3864" t="n">
        <v>0.0900799163982561</v>
      </c>
      <c r="J3864" t="n">
        <v>0.0057391251249875</v>
      </c>
      <c r="K3864" t="n">
        <v>0.7613080617034054</v>
      </c>
      <c r="L3864" t="b">
        <v>0</v>
      </c>
      <c r="M3864" t="b">
        <v>0</v>
      </c>
      <c r="N3864" t="inlineStr">
        <is>
          <t>ref</t>
        </is>
      </c>
      <c r="O3864" t="n">
        <v>25</v>
      </c>
      <c r="P3864" t="n">
        <v>0.00309</v>
      </c>
      <c r="Q3864" t="n">
        <v>100</v>
      </c>
      <c r="R3864" t="n">
        <v>0.0951</v>
      </c>
      <c r="S3864">
        <f>IMAGE("https://mitra.stanford.edu/kundaje/oak/projects/neuro-variants/variant_position/credible/roussos_2024/variant_figures/roussos_2024.childhood.Astrocyte/rs2681614_count_position.png",4,220,900)</f>
        <v/>
      </c>
      <c r="T3864">
        <f>IMAGE("https://mitra.stanford.edu/kundaje/oak/projects/neuro-variants/variant_position/credible/roussos_2024/variant_figures/roussos_2024.childhood.Astrocyte/rs2681614_profile_position.png",4,220,900)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-0.0191102978</v>
      </c>
      <c r="G3865" t="n">
        <v>0.54031495646544</v>
      </c>
      <c r="H3865" t="n">
        <v>0.0452815740472805</v>
      </c>
      <c r="I3865" t="n">
        <v>0.0060852655818464</v>
      </c>
      <c r="J3865" t="n">
        <v>8.090800149602861e-05</v>
      </c>
      <c r="K3865" t="n">
        <v>0.9920001155285044</v>
      </c>
      <c r="L3865" t="b">
        <v>0</v>
      </c>
      <c r="M3865" t="b">
        <v>0</v>
      </c>
      <c r="N3865" t="inlineStr">
        <is>
          <t>ref</t>
        </is>
      </c>
      <c r="O3865" t="n">
        <v>65</v>
      </c>
      <c r="P3865" t="n">
        <v>0.003662</v>
      </c>
      <c r="Q3865" t="n">
        <v>70</v>
      </c>
      <c r="R3865" t="n">
        <v>0.03653</v>
      </c>
      <c r="S3865">
        <f>IMAGE("https://mitra.stanford.edu/kundaje/oak/projects/neuro-variants/variant_position/credible/roussos_2024/variant_figures/roussos_2024.childhood.Astrocyte/rs2716966_count_position.png",4,220,900)</f>
        <v/>
      </c>
      <c r="T3865">
        <f>IMAGE("https://mitra.stanford.edu/kundaje/oak/projects/neuro-variants/variant_position/credible/roussos_2024/variant_figures/roussos_2024.childhood.Astrocyte/rs2716966_profile_position.png",4,220,900)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0.1750162148</v>
      </c>
      <c r="G3866" t="n">
        <v>0.0317136257553229</v>
      </c>
      <c r="H3866" t="n">
        <v>0.0272877362311711</v>
      </c>
      <c r="I3866" t="n">
        <v>0.0428748509257601</v>
      </c>
      <c r="J3866" t="n">
        <v>0.0201773869768648</v>
      </c>
      <c r="K3866" t="n">
        <v>0.6225335927336242</v>
      </c>
      <c r="L3866" t="b">
        <v>0</v>
      </c>
      <c r="M3866" t="b">
        <v>0</v>
      </c>
      <c r="N3866" t="inlineStr">
        <is>
          <t>alt</t>
        </is>
      </c>
      <c r="O3866" t="n">
        <v>-100</v>
      </c>
      <c r="P3866" t="n">
        <v>0.01534</v>
      </c>
      <c r="Q3866" t="n">
        <v>90</v>
      </c>
      <c r="R3866" t="n">
        <v>0.127</v>
      </c>
      <c r="S3866">
        <f>IMAGE("https://mitra.stanford.edu/kundaje/oak/projects/neuro-variants/variant_position/credible/roussos_2024/variant_figures/roussos_2024.childhood.Astrocyte/rs4376462_count_position.png",4,220,900)</f>
        <v/>
      </c>
      <c r="T3866">
        <f>IMAGE("https://mitra.stanford.edu/kundaje/oak/projects/neuro-variants/variant_position/credible/roussos_2024/variant_figures/roussos_2024.childhood.Astrocyte/rs4376462_profile_position.png",4,220,900)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-0.039695</v>
      </c>
      <c r="G3867" t="n">
        <v>0.2923114682732297</v>
      </c>
      <c r="H3867" t="n">
        <v>0.0337293538353829</v>
      </c>
      <c r="I3867" t="n">
        <v>0.0190506355158454</v>
      </c>
      <c r="J3867" t="n">
        <v>0.0067703205025455</v>
      </c>
      <c r="K3867" t="n">
        <v>0.7384609404239624</v>
      </c>
      <c r="L3867" t="b">
        <v>0</v>
      </c>
      <c r="M3867" t="b">
        <v>0</v>
      </c>
      <c r="N3867" t="inlineStr">
        <is>
          <t>ref</t>
        </is>
      </c>
      <c r="O3867" t="n">
        <v>65</v>
      </c>
      <c r="P3867" t="n">
        <v>0.008970000000000001</v>
      </c>
      <c r="Q3867" t="n">
        <v>30</v>
      </c>
      <c r="R3867" t="n">
        <v>0.0227</v>
      </c>
      <c r="S3867">
        <f>IMAGE("https://mitra.stanford.edu/kundaje/oak/projects/neuro-variants/variant_position/credible/roussos_2024/variant_figures/roussos_2024.childhood.Astrocyte/rs13251167_count_position.png",4,220,900)</f>
        <v/>
      </c>
      <c r="T3867">
        <f>IMAGE("https://mitra.stanford.edu/kundaje/oak/projects/neuro-variants/variant_position/credible/roussos_2024/variant_figures/roussos_2024.childhood.Astrocyte/rs13251167_profile_position.png",4,220,900)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-0.0085119541</v>
      </c>
      <c r="G3868" t="n">
        <v>0.743347672568981</v>
      </c>
      <c r="H3868" t="n">
        <v>0.0097119300966713</v>
      </c>
      <c r="I3868" t="n">
        <v>0.7467147330503137</v>
      </c>
      <c r="J3868" t="n">
        <v>0.0015441215757214</v>
      </c>
      <c r="K3868" t="n">
        <v>0.882214093500143</v>
      </c>
      <c r="L3868" t="b">
        <v>0</v>
      </c>
      <c r="M3868" t="b">
        <v>0</v>
      </c>
      <c r="N3868" t="inlineStr">
        <is>
          <t>ref</t>
        </is>
      </c>
      <c r="O3868" t="n">
        <v>-100</v>
      </c>
      <c r="P3868" t="n">
        <v>0.008</v>
      </c>
      <c r="Q3868" t="n">
        <v>-45</v>
      </c>
      <c r="R3868" t="n">
        <v>0.08093</v>
      </c>
      <c r="S3868">
        <f>IMAGE("https://mitra.stanford.edu/kundaje/oak/projects/neuro-variants/variant_position/credible/roussos_2024/variant_figures/roussos_2024.childhood.Astrocyte/rs4739486_count_position.png",4,220,900)</f>
        <v/>
      </c>
      <c r="T3868">
        <f>IMAGE("https://mitra.stanford.edu/kundaje/oak/projects/neuro-variants/variant_position/credible/roussos_2024/variant_figures/roussos_2024.childhood.Astrocyte/rs4739486_profile_position.png",4,220,900)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-0.0772282582</v>
      </c>
      <c r="G3869" t="n">
        <v>0.1245321531641535</v>
      </c>
      <c r="H3869" t="n">
        <v>0.0118080604767076</v>
      </c>
      <c r="I3869" t="n">
        <v>0.5178268600845474</v>
      </c>
      <c r="J3869" t="n">
        <v>0.0011594269270988</v>
      </c>
      <c r="K3869" t="n">
        <v>0.9044264063303584</v>
      </c>
      <c r="L3869" t="b">
        <v>0</v>
      </c>
      <c r="M3869" t="b">
        <v>0</v>
      </c>
      <c r="N3869" t="inlineStr">
        <is>
          <t>ref</t>
        </is>
      </c>
      <c r="O3869" t="n">
        <v>-60</v>
      </c>
      <c r="P3869" t="n">
        <v>0.009964000000000001</v>
      </c>
      <c r="Q3869" t="n">
        <v>-50</v>
      </c>
      <c r="R3869" t="n">
        <v>0.1423</v>
      </c>
      <c r="S3869">
        <f>IMAGE("https://mitra.stanford.edu/kundaje/oak/projects/neuro-variants/variant_position/credible/roussos_2024/variant_figures/roussos_2024.childhood.Astrocyte/rs4483152_count_position.png",4,220,900)</f>
        <v/>
      </c>
      <c r="T3869">
        <f>IMAGE("https://mitra.stanford.edu/kundaje/oak/projects/neuro-variants/variant_position/credible/roussos_2024/variant_figures/roussos_2024.childhood.Astrocyte/rs4483152_profile_position.png",4,220,900)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0.475706498</v>
      </c>
      <c r="G3870" t="n">
        <v>0.001323555288621</v>
      </c>
      <c r="H3870" t="n">
        <v>0.0577523189798933</v>
      </c>
      <c r="I3870" t="n">
        <v>0.0024330575427476</v>
      </c>
      <c r="J3870" t="n">
        <v>0.0394174623892285</v>
      </c>
      <c r="K3870" t="n">
        <v>0.4822317143056241</v>
      </c>
      <c r="L3870" t="b">
        <v>1</v>
      </c>
      <c r="M3870" t="b">
        <v>1</v>
      </c>
      <c r="N3870" t="inlineStr">
        <is>
          <t>alt</t>
        </is>
      </c>
      <c r="O3870" t="n">
        <v>25</v>
      </c>
      <c r="P3870" t="n">
        <v>0.003304</v>
      </c>
      <c r="Q3870" t="n">
        <v>35</v>
      </c>
      <c r="R3870" t="n">
        <v>0.0381</v>
      </c>
      <c r="S3870">
        <f>IMAGE("https://mitra.stanford.edu/kundaje/oak/projects/neuro-variants/variant_position/credible/roussos_2024/variant_figures/roussos_2024.childhood.Astrocyte/rs2953935_count_position.png",4,220,900)</f>
        <v/>
      </c>
      <c r="T3870">
        <f>IMAGE("https://mitra.stanford.edu/kundaje/oak/projects/neuro-variants/variant_position/credible/roussos_2024/variant_figures/roussos_2024.childhood.Astrocyte/rs2953935_profile_position.png",4,220,900)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-0.0297085843999999</v>
      </c>
      <c r="G3871" t="n">
        <v>0.3912440944819898</v>
      </c>
      <c r="H3871" t="n">
        <v>0.0114789466729367</v>
      </c>
      <c r="I3871" t="n">
        <v>0.5622840035315374</v>
      </c>
      <c r="J3871" t="n">
        <v>0.0140932579209696</v>
      </c>
      <c r="K3871" t="n">
        <v>0.6487869283669533</v>
      </c>
      <c r="L3871" t="b">
        <v>0</v>
      </c>
      <c r="M3871" t="b">
        <v>0</v>
      </c>
      <c r="N3871" t="inlineStr">
        <is>
          <t>ref</t>
        </is>
      </c>
      <c r="O3871" t="n">
        <v>65</v>
      </c>
      <c r="P3871" t="n">
        <v>0.003647</v>
      </c>
      <c r="Q3871" t="n">
        <v>70</v>
      </c>
      <c r="R3871" t="n">
        <v>0.05334</v>
      </c>
      <c r="S3871">
        <f>IMAGE("https://mitra.stanford.edu/kundaje/oak/projects/neuro-variants/variant_position/credible/roussos_2024/variant_figures/roussos_2024.childhood.Astrocyte/rs79845297_count_position.png",4,220,900)</f>
        <v/>
      </c>
      <c r="T3871">
        <f>IMAGE("https://mitra.stanford.edu/kundaje/oak/projects/neuro-variants/variant_position/credible/roussos_2024/variant_figures/roussos_2024.childhood.Astrocyte/rs79845297_profile_position.png",4,220,900)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-0.000956605</v>
      </c>
      <c r="G3872" t="n">
        <v>0.3330832086912563</v>
      </c>
      <c r="H3872" t="n">
        <v>0.0141597868228794</v>
      </c>
      <c r="I3872" t="n">
        <v>0.3534981605322601</v>
      </c>
      <c r="J3872" t="n">
        <v>0.020414768000122</v>
      </c>
      <c r="K3872" t="n">
        <v>0.5899568075264634</v>
      </c>
      <c r="L3872" t="b">
        <v>0</v>
      </c>
      <c r="M3872" t="b">
        <v>0</v>
      </c>
      <c r="N3872" t="inlineStr">
        <is>
          <t>ref</t>
        </is>
      </c>
      <c r="O3872" t="n">
        <v>-50</v>
      </c>
      <c r="P3872" t="n">
        <v>0.00515</v>
      </c>
      <c r="Q3872" t="n">
        <v>-40</v>
      </c>
      <c r="R3872" t="n">
        <v>0.0586</v>
      </c>
      <c r="S3872">
        <f>IMAGE("https://mitra.stanford.edu/kundaje/oak/projects/neuro-variants/variant_position/credible/roussos_2024/variant_figures/roussos_2024.childhood.Astrocyte/rs2609620_count_position.png",4,220,900)</f>
        <v/>
      </c>
      <c r="T3872">
        <f>IMAGE("https://mitra.stanford.edu/kundaje/oak/projects/neuro-variants/variant_position/credible/roussos_2024/variant_figures/roussos_2024.childhood.Astrocyte/rs2609620_profile_position.png",4,220,900)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0.217548994</v>
      </c>
      <c r="G3873" t="n">
        <v>0.013917335426973</v>
      </c>
      <c r="H3873" t="n">
        <v>0.0262685116590393</v>
      </c>
      <c r="I3873" t="n">
        <v>0.0497853998316782</v>
      </c>
      <c r="J3873" t="n">
        <v>0.2242922458076678</v>
      </c>
      <c r="K3873" t="n">
        <v>0.1832409111910058</v>
      </c>
      <c r="L3873" t="b">
        <v>1</v>
      </c>
      <c r="M3873" t="b">
        <v>0</v>
      </c>
      <c r="N3873" t="inlineStr">
        <is>
          <t>alt</t>
        </is>
      </c>
      <c r="O3873" t="n">
        <v>-100</v>
      </c>
      <c r="P3873" t="n">
        <v>0.07240000000000001</v>
      </c>
      <c r="Q3873" t="n">
        <v>20</v>
      </c>
      <c r="R3873" t="n">
        <v>0.01611</v>
      </c>
      <c r="S3873">
        <f>IMAGE("https://mitra.stanford.edu/kundaje/oak/projects/neuro-variants/variant_position/credible/roussos_2024/variant_figures/roussos_2024.childhood.Astrocyte/rs2609622_count_position.png",4,220,900)</f>
        <v/>
      </c>
      <c r="T3873">
        <f>IMAGE("https://mitra.stanford.edu/kundaje/oak/projects/neuro-variants/variant_position/credible/roussos_2024/variant_figures/roussos_2024.childhood.Astrocyte/rs2609622_profile_position.png",4,220,900)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0.0220630562</v>
      </c>
      <c r="G3874" t="n">
        <v>0.2778239322889497</v>
      </c>
      <c r="H3874" t="n">
        <v>0.0121369581592037</v>
      </c>
      <c r="I3874" t="n">
        <v>0.5035211434012304</v>
      </c>
      <c r="J3874" t="n">
        <v>0.009590651309411899</v>
      </c>
      <c r="K3874" t="n">
        <v>0.7014489496745525</v>
      </c>
      <c r="L3874" t="b">
        <v>0</v>
      </c>
      <c r="M3874" t="b">
        <v>0</v>
      </c>
      <c r="N3874" t="inlineStr">
        <is>
          <t>alt</t>
        </is>
      </c>
      <c r="O3874" t="n">
        <v>-95</v>
      </c>
      <c r="P3874" t="n">
        <v>0.01634</v>
      </c>
      <c r="Q3874" t="n">
        <v>45</v>
      </c>
      <c r="R3874" t="n">
        <v>0.0731</v>
      </c>
      <c r="S3874">
        <f>IMAGE("https://mitra.stanford.edu/kundaje/oak/projects/neuro-variants/variant_position/credible/roussos_2024/variant_figures/roussos_2024.childhood.Astrocyte/rs2719322_count_position.png",4,220,900)</f>
        <v/>
      </c>
      <c r="T3874">
        <f>IMAGE("https://mitra.stanford.edu/kundaje/oak/projects/neuro-variants/variant_position/credible/roussos_2024/variant_figures/roussos_2024.childhood.Astrocyte/rs2719322_profile_position.png",4,220,900)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0.0062787590199999</v>
      </c>
      <c r="G3875" t="n">
        <v>0.488026864294548</v>
      </c>
      <c r="H3875" t="n">
        <v>0.0245384095557907</v>
      </c>
      <c r="I3875" t="n">
        <v>0.0628899340608612</v>
      </c>
      <c r="J3875" t="n">
        <v>0.3709982978788364</v>
      </c>
      <c r="K3875" t="n">
        <v>0.0982107904879347</v>
      </c>
      <c r="L3875" t="b">
        <v>0</v>
      </c>
      <c r="M3875" t="b">
        <v>0</v>
      </c>
      <c r="N3875" t="inlineStr">
        <is>
          <t>alt</t>
        </is>
      </c>
      <c r="O3875" t="n">
        <v>70</v>
      </c>
      <c r="P3875" t="n">
        <v>0.00386</v>
      </c>
      <c r="Q3875" t="n">
        <v>55</v>
      </c>
      <c r="R3875" t="n">
        <v>0.0654</v>
      </c>
      <c r="S3875">
        <f>IMAGE("https://mitra.stanford.edu/kundaje/oak/projects/neuro-variants/variant_position/credible/roussos_2024/variant_figures/roussos_2024.childhood.Astrocyte/rs75428749_count_position.png",4,220,900)</f>
        <v/>
      </c>
      <c r="T3875">
        <f>IMAGE("https://mitra.stanford.edu/kundaje/oak/projects/neuro-variants/variant_position/credible/roussos_2024/variant_figures/roussos_2024.childhood.Astrocyte/rs75428749_profile_position.png",4,220,900)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-0.01572192988</v>
      </c>
      <c r="G3876" t="n">
        <v>0.5552311104776263</v>
      </c>
      <c r="H3876" t="n">
        <v>0.0125175854679281</v>
      </c>
      <c r="I3876" t="n">
        <v>0.4680495573023401</v>
      </c>
      <c r="J3876" t="n">
        <v>0.0275278025844763</v>
      </c>
      <c r="K3876" t="n">
        <v>0.5483675894946203</v>
      </c>
      <c r="L3876" t="b">
        <v>0</v>
      </c>
      <c r="M3876" t="b">
        <v>0</v>
      </c>
      <c r="N3876" t="inlineStr">
        <is>
          <t>ref</t>
        </is>
      </c>
      <c r="O3876" t="n">
        <v>-20</v>
      </c>
      <c r="P3876" t="n">
        <v>0.00531</v>
      </c>
      <c r="Q3876" t="n">
        <v>20</v>
      </c>
      <c r="R3876" t="n">
        <v>0.03064</v>
      </c>
      <c r="S3876">
        <f>IMAGE("https://mitra.stanford.edu/kundaje/oak/projects/neuro-variants/variant_position/credible/roussos_2024/variant_figures/roussos_2024.childhood.Astrocyte/rs73674310_count_position.png",4,220,900)</f>
        <v/>
      </c>
      <c r="T3876">
        <f>IMAGE("https://mitra.stanford.edu/kundaje/oak/projects/neuro-variants/variant_position/credible/roussos_2024/variant_figures/roussos_2024.childhood.Astrocyte/rs73674310_profile_position.png",4,220,900)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-0.00928842654</v>
      </c>
      <c r="G3877" t="n">
        <v>0.725329009232659</v>
      </c>
      <c r="H3877" t="n">
        <v>0.0109570101028073</v>
      </c>
      <c r="I3877" t="n">
        <v>0.614139239960909</v>
      </c>
      <c r="J3877" t="n">
        <v>0.0019921687160815</v>
      </c>
      <c r="K3877" t="n">
        <v>0.8679542649879872</v>
      </c>
      <c r="L3877" t="b">
        <v>0</v>
      </c>
      <c r="M3877" t="b">
        <v>0</v>
      </c>
      <c r="N3877" t="inlineStr">
        <is>
          <t>ref</t>
        </is>
      </c>
      <c r="O3877" t="n">
        <v>60</v>
      </c>
      <c r="P3877" t="n">
        <v>0.005013</v>
      </c>
      <c r="Q3877" t="n">
        <v>-100</v>
      </c>
      <c r="R3877" t="n">
        <v>0.07587000000000001</v>
      </c>
      <c r="S3877">
        <f>IMAGE("https://mitra.stanford.edu/kundaje/oak/projects/neuro-variants/variant_position/credible/roussos_2024/variant_figures/roussos_2024.childhood.Astrocyte/rs1458903_count_position.png",4,220,900)</f>
        <v/>
      </c>
      <c r="T3877">
        <f>IMAGE("https://mitra.stanford.edu/kundaje/oak/projects/neuro-variants/variant_position/credible/roussos_2024/variant_figures/roussos_2024.childhood.Astrocyte/rs1458903_profile_position.png",4,220,900)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-0.178176084</v>
      </c>
      <c r="G3878" t="n">
        <v>0.0223506583681677</v>
      </c>
      <c r="H3878" t="n">
        <v>0.0168262559030669</v>
      </c>
      <c r="I3878" t="n">
        <v>0.219467431686915</v>
      </c>
      <c r="J3878" t="n">
        <v>0.1499576377916694</v>
      </c>
      <c r="K3878" t="n">
        <v>0.2598066969138067</v>
      </c>
      <c r="L3878" t="b">
        <v>0</v>
      </c>
      <c r="M3878" t="b">
        <v>0</v>
      </c>
      <c r="N3878" t="inlineStr">
        <is>
          <t>ref</t>
        </is>
      </c>
      <c r="O3878" t="n">
        <v>80</v>
      </c>
      <c r="P3878" t="n">
        <v>0.02243</v>
      </c>
      <c r="Q3878" t="n">
        <v>55</v>
      </c>
      <c r="R3878" t="n">
        <v>0.2646</v>
      </c>
      <c r="S3878">
        <f>IMAGE("https://mitra.stanford.edu/kundaje/oak/projects/neuro-variants/variant_position/credible/roussos_2024/variant_figures/roussos_2024.childhood.Astrocyte/rs73674323_count_position.png",4,220,900)</f>
        <v/>
      </c>
      <c r="T3878">
        <f>IMAGE("https://mitra.stanford.edu/kundaje/oak/projects/neuro-variants/variant_position/credible/roussos_2024/variant_figures/roussos_2024.childhood.Astrocyte/rs73674323_profile_position.png",4,220,900)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-0.0127129303</v>
      </c>
      <c r="G3879" t="n">
        <v>0.6806703989656037</v>
      </c>
      <c r="H3879" t="n">
        <v>0.0103307933602717</v>
      </c>
      <c r="I3879" t="n">
        <v>0.6705464118355146</v>
      </c>
      <c r="J3879" t="n">
        <v>0.0555685313671162</v>
      </c>
      <c r="K3879" t="n">
        <v>0.4326232216964691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0.03543</v>
      </c>
      <c r="Q3879" t="n">
        <v>-100</v>
      </c>
      <c r="R3879" t="n">
        <v>0.05002</v>
      </c>
      <c r="S3879">
        <f>IMAGE("https://mitra.stanford.edu/kundaje/oak/projects/neuro-variants/variant_position/credible/roussos_2024/variant_figures/roussos_2024.childhood.Astrocyte/rs74931817_count_position.png",4,220,900)</f>
        <v/>
      </c>
      <c r="T3879">
        <f>IMAGE("https://mitra.stanford.edu/kundaje/oak/projects/neuro-variants/variant_position/credible/roussos_2024/variant_figures/roussos_2024.childhood.Astrocyte/rs74931817_profile_position.png",4,220,900)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0.411370556</v>
      </c>
      <c r="G3880" t="n">
        <v>0.0024144432776729</v>
      </c>
      <c r="H3880" t="n">
        <v>0.0501280527382018</v>
      </c>
      <c r="I3880" t="n">
        <v>0.0047878911166424</v>
      </c>
      <c r="J3880" t="n">
        <v>0.0203575217726484</v>
      </c>
      <c r="K3880" t="n">
        <v>0.5956275740378878</v>
      </c>
      <c r="L3880" t="b">
        <v>1</v>
      </c>
      <c r="M3880" t="b">
        <v>1</v>
      </c>
      <c r="N3880" t="inlineStr">
        <is>
          <t>alt</t>
        </is>
      </c>
      <c r="O3880" t="n">
        <v>-40</v>
      </c>
      <c r="P3880" t="n">
        <v>0.00447</v>
      </c>
      <c r="Q3880" t="n">
        <v>45</v>
      </c>
      <c r="R3880" t="n">
        <v>0.1096</v>
      </c>
      <c r="S3880">
        <f>IMAGE("https://mitra.stanford.edu/kundaje/oak/projects/neuro-variants/variant_position/credible/roussos_2024/variant_figures/roussos_2024.childhood.Astrocyte/rs1562183_count_position.png",4,220,900)</f>
        <v/>
      </c>
      <c r="T3880">
        <f>IMAGE("https://mitra.stanford.edu/kundaje/oak/projects/neuro-variants/variant_position/credible/roussos_2024/variant_figures/roussos_2024.childhood.Astrocyte/rs1562183_profile_position.png",4,220,900)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-0.0150193999</v>
      </c>
      <c r="G3881" t="n">
        <v>0.6229032909820504</v>
      </c>
      <c r="H3881" t="n">
        <v>0.0263870119674232</v>
      </c>
      <c r="I3881" t="n">
        <v>0.0489380568036431</v>
      </c>
      <c r="J3881" t="n">
        <v>0.0004801050277453</v>
      </c>
      <c r="K3881" t="n">
        <v>0.9460857323381257</v>
      </c>
      <c r="L3881" t="b">
        <v>0</v>
      </c>
      <c r="M3881" t="b">
        <v>0</v>
      </c>
      <c r="N3881" t="inlineStr">
        <is>
          <t>ref</t>
        </is>
      </c>
      <c r="O3881" t="n">
        <v>-95</v>
      </c>
      <c r="P3881" t="n">
        <v>0.6006</v>
      </c>
      <c r="Q3881" t="n">
        <v>-100</v>
      </c>
      <c r="R3881" t="n">
        <v>0.2764</v>
      </c>
      <c r="S3881">
        <f>IMAGE("https://mitra.stanford.edu/kundaje/oak/projects/neuro-variants/variant_position/credible/roussos_2024/variant_figures/roussos_2024.childhood.Astrocyte/rs78759621_count_position.png",4,220,900)</f>
        <v/>
      </c>
      <c r="T3881">
        <f>IMAGE("https://mitra.stanford.edu/kundaje/oak/projects/neuro-variants/variant_position/credible/roussos_2024/variant_figures/roussos_2024.childhood.Astrocyte/rs78759621_profile_position.png",4,220,900)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-0.0165393142</v>
      </c>
      <c r="G3882" t="n">
        <v>0.5885102776611398</v>
      </c>
      <c r="H3882" t="n">
        <v>0.0224813042663429</v>
      </c>
      <c r="I3882" t="n">
        <v>0.085066275532834</v>
      </c>
      <c r="J3882" t="n">
        <v>0.0358865150786562</v>
      </c>
      <c r="K3882" t="n">
        <v>0.5029116602767377</v>
      </c>
      <c r="L3882" t="b">
        <v>0</v>
      </c>
      <c r="M3882" t="b">
        <v>0</v>
      </c>
      <c r="N3882" t="inlineStr">
        <is>
          <t>ref</t>
        </is>
      </c>
      <c r="O3882" t="n">
        <v>85</v>
      </c>
      <c r="P3882" t="n">
        <v>0.001499</v>
      </c>
      <c r="Q3882" t="n">
        <v>-100</v>
      </c>
      <c r="R3882" t="n">
        <v>0.1471</v>
      </c>
      <c r="S3882">
        <f>IMAGE("https://mitra.stanford.edu/kundaje/oak/projects/neuro-variants/variant_position/credible/roussos_2024/variant_figures/roussos_2024.childhood.Astrocyte/rs16882072_count_position.png",4,220,900)</f>
        <v/>
      </c>
      <c r="T3882">
        <f>IMAGE("https://mitra.stanford.edu/kundaje/oak/projects/neuro-variants/variant_position/credible/roussos_2024/variant_figures/roussos_2024.childhood.Astrocyte/rs16882072_profile_position.png",4,220,900)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-0.00349553186</v>
      </c>
      <c r="G3883" t="n">
        <v>0.7159713207925809</v>
      </c>
      <c r="H3883" t="n">
        <v>0.0321653054550971</v>
      </c>
      <c r="I3883" t="n">
        <v>0.0227619877391069</v>
      </c>
      <c r="J3883" t="n">
        <v>0.08427026325631801</v>
      </c>
      <c r="K3883" t="n">
        <v>0.3574480863231016</v>
      </c>
      <c r="L3883" t="b">
        <v>0</v>
      </c>
      <c r="M3883" t="b">
        <v>0</v>
      </c>
      <c r="N3883" t="inlineStr">
        <is>
          <t>ref</t>
        </is>
      </c>
      <c r="O3883" t="n">
        <v>-80</v>
      </c>
      <c r="P3883" t="n">
        <v>0.0105</v>
      </c>
      <c r="Q3883" t="n">
        <v>-45</v>
      </c>
      <c r="R3883" t="n">
        <v>0.1033</v>
      </c>
      <c r="S3883">
        <f>IMAGE("https://mitra.stanford.edu/kundaje/oak/projects/neuro-variants/variant_position/credible/roussos_2024/variant_figures/roussos_2024.childhood.Astrocyte/rs11779986_count_position.png",4,220,900)</f>
        <v/>
      </c>
      <c r="T3883">
        <f>IMAGE("https://mitra.stanford.edu/kundaje/oak/projects/neuro-variants/variant_position/credible/roussos_2024/variant_figures/roussos_2024.childhood.Astrocyte/rs11779986_profile_position.png",4,220,900)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0.0488050816</v>
      </c>
      <c r="G3884" t="n">
        <v>0.2292384990762849</v>
      </c>
      <c r="H3884" t="n">
        <v>0.0127158398436413</v>
      </c>
      <c r="I3884" t="n">
        <v>0.447883125307863</v>
      </c>
      <c r="J3884" t="n">
        <v>0.0448489844519245</v>
      </c>
      <c r="K3884" t="n">
        <v>0.4602458368522217</v>
      </c>
      <c r="L3884" t="b">
        <v>0</v>
      </c>
      <c r="M3884" t="b">
        <v>0</v>
      </c>
      <c r="N3884" t="inlineStr">
        <is>
          <t>alt</t>
        </is>
      </c>
      <c r="O3884" t="n">
        <v>-55</v>
      </c>
      <c r="P3884" t="n">
        <v>0.01971</v>
      </c>
      <c r="Q3884" t="n">
        <v>20</v>
      </c>
      <c r="R3884" t="n">
        <v>0.02985</v>
      </c>
      <c r="S3884">
        <f>IMAGE("https://mitra.stanford.edu/kundaje/oak/projects/neuro-variants/variant_position/credible/roussos_2024/variant_figures/roussos_2024.childhood.Astrocyte/rs4537271_count_position.png",4,220,900)</f>
        <v/>
      </c>
      <c r="T3884">
        <f>IMAGE("https://mitra.stanford.edu/kundaje/oak/projects/neuro-variants/variant_position/credible/roussos_2024/variant_figures/roussos_2024.childhood.Astrocyte/rs4537271_profile_position.png",4,220,900)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-0.02813332</v>
      </c>
      <c r="G3885" t="n">
        <v>0.4231183179755615</v>
      </c>
      <c r="H3885" t="n">
        <v>0.0608517051278179</v>
      </c>
      <c r="I3885" t="n">
        <v>0.00196920595238</v>
      </c>
      <c r="J3885" t="n">
        <v>0.002876813751307</v>
      </c>
      <c r="K3885" t="n">
        <v>0.8274007248206878</v>
      </c>
      <c r="L3885" t="b">
        <v>0</v>
      </c>
      <c r="M3885" t="b">
        <v>0</v>
      </c>
      <c r="N3885" t="inlineStr">
        <is>
          <t>ref</t>
        </is>
      </c>
      <c r="O3885" t="n">
        <v>0</v>
      </c>
      <c r="P3885" t="n">
        <v>0</v>
      </c>
      <c r="Q3885" t="n">
        <v>5</v>
      </c>
      <c r="R3885" t="n">
        <v>0.01746</v>
      </c>
      <c r="S3885">
        <f>IMAGE("https://mitra.stanford.edu/kundaje/oak/projects/neuro-variants/variant_position/credible/roussos_2024/variant_figures/roussos_2024.childhood.Astrocyte/rs111373244_count_position.png",4,220,900)</f>
        <v/>
      </c>
      <c r="T3885">
        <f>IMAGE("https://mitra.stanford.edu/kundaje/oak/projects/neuro-variants/variant_position/credible/roussos_2024/variant_figures/roussos_2024.childhood.Astrocyte/rs111373244_profile_position.png",4,220,900)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-0.040200385</v>
      </c>
      <c r="G3886" t="n">
        <v>0.29206523646249</v>
      </c>
      <c r="H3886" t="n">
        <v>0.07565047135999189</v>
      </c>
      <c r="I3886" t="n">
        <v>0.0009202092736632</v>
      </c>
      <c r="J3886" t="n">
        <v>0.0057032508224374</v>
      </c>
      <c r="K3886" t="n">
        <v>0.765645793583952</v>
      </c>
      <c r="L3886" t="b">
        <v>0</v>
      </c>
      <c r="M3886" t="b">
        <v>0</v>
      </c>
      <c r="N3886" t="inlineStr">
        <is>
          <t>ref</t>
        </is>
      </c>
      <c r="O3886" t="n">
        <v>-45</v>
      </c>
      <c r="P3886" t="n">
        <v>0.004333</v>
      </c>
      <c r="Q3886" t="n">
        <v>-95</v>
      </c>
      <c r="R3886" t="n">
        <v>0.0793</v>
      </c>
      <c r="S3886">
        <f>IMAGE("https://mitra.stanford.edu/kundaje/oak/projects/neuro-variants/variant_position/credible/roussos_2024/variant_figures/roussos_2024.childhood.Astrocyte/rs150171772_count_position.png",4,220,900)</f>
        <v/>
      </c>
      <c r="T3886">
        <f>IMAGE("https://mitra.stanford.edu/kundaje/oak/projects/neuro-variants/variant_position/credible/roussos_2024/variant_figures/roussos_2024.childhood.Astrocyte/rs150171772_profile_position.png",4,220,900)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0.0262764286</v>
      </c>
      <c r="G3887" t="n">
        <v>0.4296767870690763</v>
      </c>
      <c r="H3887" t="n">
        <v>0.0254751158129037</v>
      </c>
      <c r="I3887" t="n">
        <v>0.0544281701724601</v>
      </c>
      <c r="J3887" t="n">
        <v>0.0081732347171654</v>
      </c>
      <c r="K3887" t="n">
        <v>0.7173747293124373</v>
      </c>
      <c r="L3887" t="b">
        <v>0</v>
      </c>
      <c r="M3887" t="b">
        <v>0</v>
      </c>
      <c r="N3887" t="inlineStr">
        <is>
          <t>alt</t>
        </is>
      </c>
      <c r="O3887" t="n">
        <v>-90</v>
      </c>
      <c r="P3887" t="n">
        <v>0.02039</v>
      </c>
      <c r="Q3887" t="n">
        <v>-30</v>
      </c>
      <c r="R3887" t="n">
        <v>0.04565</v>
      </c>
      <c r="S3887">
        <f>IMAGE("https://mitra.stanford.edu/kundaje/oak/projects/neuro-variants/variant_position/credible/roussos_2024/variant_figures/roussos_2024.childhood.Astrocyte/rs10103315_count_position.png",4,220,900)</f>
        <v/>
      </c>
      <c r="T3887">
        <f>IMAGE("https://mitra.stanford.edu/kundaje/oak/projects/neuro-variants/variant_position/credible/roussos_2024/variant_figures/roussos_2024.childhood.Astrocyte/rs10103315_profile_position.png",4,220,900)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-0.07579076279999999</v>
      </c>
      <c r="G3888" t="n">
        <v>0.119871623639055</v>
      </c>
      <c r="H3888" t="n">
        <v>0.0251149639654792</v>
      </c>
      <c r="I3888" t="n">
        <v>0.0574876118698374</v>
      </c>
      <c r="J3888" t="n">
        <v>0.0005472739346476</v>
      </c>
      <c r="K3888" t="n">
        <v>0.9299043207160774</v>
      </c>
      <c r="L3888" t="b">
        <v>0</v>
      </c>
      <c r="M3888" t="b">
        <v>0</v>
      </c>
      <c r="N3888" t="inlineStr">
        <is>
          <t>ref</t>
        </is>
      </c>
      <c r="O3888" t="n">
        <v>45</v>
      </c>
      <c r="P3888" t="n">
        <v>0.00193</v>
      </c>
      <c r="Q3888" t="n">
        <v>75</v>
      </c>
      <c r="R3888" t="n">
        <v>0.2346</v>
      </c>
      <c r="S3888">
        <f>IMAGE("https://mitra.stanford.edu/kundaje/oak/projects/neuro-variants/variant_position/credible/roussos_2024/variant_figures/roussos_2024.childhood.Astrocyte/rs56058270_count_position.png",4,220,900)</f>
        <v/>
      </c>
      <c r="T3888">
        <f>IMAGE("https://mitra.stanford.edu/kundaje/oak/projects/neuro-variants/variant_position/credible/roussos_2024/variant_figures/roussos_2024.childhood.Astrocyte/rs56058270_profile_position.png",4,220,900)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0.1455226114</v>
      </c>
      <c r="G3889" t="n">
        <v>0.0379760378660749</v>
      </c>
      <c r="H3889" t="n">
        <v>0.0552118262647718</v>
      </c>
      <c r="I3889" t="n">
        <v>0.0032411016102406</v>
      </c>
      <c r="J3889" t="n">
        <v>0.0790799386320441</v>
      </c>
      <c r="K3889" t="n">
        <v>0.3649652284412849</v>
      </c>
      <c r="L3889" t="b">
        <v>1</v>
      </c>
      <c r="M3889" t="b">
        <v>1</v>
      </c>
      <c r="N3889" t="inlineStr">
        <is>
          <t>alt</t>
        </is>
      </c>
      <c r="O3889" t="n">
        <v>20</v>
      </c>
      <c r="P3889" t="n">
        <v>0.00238</v>
      </c>
      <c r="Q3889" t="n">
        <v>20</v>
      </c>
      <c r="R3889" t="n">
        <v>0.03345</v>
      </c>
      <c r="S3889">
        <f>IMAGE("https://mitra.stanford.edu/kundaje/oak/projects/neuro-variants/variant_position/credible/roussos_2024/variant_figures/roussos_2024.childhood.Astrocyte/rs57984710_count_position.png",4,220,900)</f>
        <v/>
      </c>
      <c r="T3889">
        <f>IMAGE("https://mitra.stanford.edu/kundaje/oak/projects/neuro-variants/variant_position/credible/roussos_2024/variant_figures/roussos_2024.childhood.Astrocyte/rs57984710_profile_position.png",4,220,900)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-0.0492407156</v>
      </c>
      <c r="G3890" t="n">
        <v>0.220176047982282</v>
      </c>
      <c r="H3890" t="n">
        <v>0.0099558600156394</v>
      </c>
      <c r="I3890" t="n">
        <v>0.7257500922752654</v>
      </c>
      <c r="J3890" t="n">
        <v>0.0565699587063878</v>
      </c>
      <c r="K3890" t="n">
        <v>0.4256004278303652</v>
      </c>
      <c r="L3890" t="b">
        <v>0</v>
      </c>
      <c r="M3890" t="b">
        <v>0</v>
      </c>
      <c r="N3890" t="inlineStr">
        <is>
          <t>ref</t>
        </is>
      </c>
      <c r="O3890" t="n">
        <v>100</v>
      </c>
      <c r="P3890" t="n">
        <v>0.004505</v>
      </c>
      <c r="Q3890" t="n">
        <v>-100</v>
      </c>
      <c r="R3890" t="n">
        <v>0.08276</v>
      </c>
      <c r="S3890">
        <f>IMAGE("https://mitra.stanford.edu/kundaje/oak/projects/neuro-variants/variant_position/credible/roussos_2024/variant_figures/roussos_2024.childhood.Astrocyte/rs1488934_count_position.png",4,220,900)</f>
        <v/>
      </c>
      <c r="T3890">
        <f>IMAGE("https://mitra.stanford.edu/kundaje/oak/projects/neuro-variants/variant_position/credible/roussos_2024/variant_figures/roussos_2024.childhood.Astrocyte/rs1488934_profile_position.png",4,220,900)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-0.00454752574</v>
      </c>
      <c r="G3891" t="n">
        <v>0.8141597124784736</v>
      </c>
      <c r="H3891" t="n">
        <v>0.007518664382571</v>
      </c>
      <c r="I3891" t="n">
        <v>0.928262876201568</v>
      </c>
      <c r="J3891" t="n">
        <v>0.0358216360208528</v>
      </c>
      <c r="K3891" t="n">
        <v>0.5036495310793059</v>
      </c>
      <c r="L3891" t="b">
        <v>0</v>
      </c>
      <c r="M3891" t="b">
        <v>0</v>
      </c>
      <c r="N3891" t="inlineStr">
        <is>
          <t>ref</t>
        </is>
      </c>
      <c r="O3891" t="n">
        <v>60</v>
      </c>
      <c r="P3891" t="n">
        <v>0.003433</v>
      </c>
      <c r="Q3891" t="n">
        <v>100</v>
      </c>
      <c r="R3891" t="n">
        <v>0.1266</v>
      </c>
      <c r="S3891">
        <f>IMAGE("https://mitra.stanford.edu/kundaje/oak/projects/neuro-variants/variant_position/credible/roussos_2024/variant_figures/roussos_2024.childhood.Astrocyte/rs1488935_count_position.png",4,220,900)</f>
        <v/>
      </c>
      <c r="T3891">
        <f>IMAGE("https://mitra.stanford.edu/kundaje/oak/projects/neuro-variants/variant_position/credible/roussos_2024/variant_figures/roussos_2024.childhood.Astrocyte/rs1488935_profile_position.png",4,220,900)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0.0838226522</v>
      </c>
      <c r="G3892" t="n">
        <v>0.0943336033995307</v>
      </c>
      <c r="H3892" t="n">
        <v>0.0201453001345348</v>
      </c>
      <c r="I3892" t="n">
        <v>0.1227842216756691</v>
      </c>
      <c r="J3892" t="n">
        <v>0.1523558730812972</v>
      </c>
      <c r="K3892" t="n">
        <v>0.2469078595629496</v>
      </c>
      <c r="L3892" t="b">
        <v>0</v>
      </c>
      <c r="M3892" t="b">
        <v>0</v>
      </c>
      <c r="N3892" t="inlineStr">
        <is>
          <t>alt</t>
        </is>
      </c>
      <c r="O3892" t="n">
        <v>-90</v>
      </c>
      <c r="P3892" t="n">
        <v>0.002968</v>
      </c>
      <c r="Q3892" t="n">
        <v>-5</v>
      </c>
      <c r="R3892" t="n">
        <v>0.01471</v>
      </c>
      <c r="S3892">
        <f>IMAGE("https://mitra.stanford.edu/kundaje/oak/projects/neuro-variants/variant_position/credible/roussos_2024/variant_figures/roussos_2024.childhood.Astrocyte/rs12674515_count_position.png",4,220,900)</f>
        <v/>
      </c>
      <c r="T3892">
        <f>IMAGE("https://mitra.stanford.edu/kundaje/oak/projects/neuro-variants/variant_position/credible/roussos_2024/variant_figures/roussos_2024.childhood.Astrocyte/rs12674515_profile_position.png",4,220,900)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-0.0130858705</v>
      </c>
      <c r="G3893" t="n">
        <v>0.6586464523373128</v>
      </c>
      <c r="H3893" t="n">
        <v>0.026138420766798</v>
      </c>
      <c r="I3893" t="n">
        <v>0.0499764598237099</v>
      </c>
      <c r="J3893" t="n">
        <v>0.0012288856831</v>
      </c>
      <c r="K3893" t="n">
        <v>0.9031360925444148</v>
      </c>
      <c r="L3893" t="b">
        <v>0</v>
      </c>
      <c r="M3893" t="b">
        <v>0</v>
      </c>
      <c r="N3893" t="inlineStr">
        <is>
          <t>ref</t>
        </is>
      </c>
      <c r="O3893" t="n">
        <v>-10</v>
      </c>
      <c r="P3893" t="n">
        <v>0.003407</v>
      </c>
      <c r="Q3893" t="n">
        <v>-10</v>
      </c>
      <c r="R3893" t="n">
        <v>0.03137</v>
      </c>
      <c r="S3893">
        <f>IMAGE("https://mitra.stanford.edu/kundaje/oak/projects/neuro-variants/variant_position/credible/roussos_2024/variant_figures/roussos_2024.childhood.Astrocyte/rs7845284_count_position.png",4,220,900)</f>
        <v/>
      </c>
      <c r="T3893">
        <f>IMAGE("https://mitra.stanford.edu/kundaje/oak/projects/neuro-variants/variant_position/credible/roussos_2024/variant_figures/roussos_2024.childhood.Astrocyte/rs7845284_profile_position.png",4,220,900)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0.01073558034</v>
      </c>
      <c r="G3894" t="n">
        <v>0.7047360876505833</v>
      </c>
      <c r="H3894" t="n">
        <v>0.0126483784670649</v>
      </c>
      <c r="I3894" t="n">
        <v>0.4618541338198514</v>
      </c>
      <c r="J3894" t="n">
        <v>0.004033187546274</v>
      </c>
      <c r="K3894" t="n">
        <v>0.815249998284983</v>
      </c>
      <c r="L3894" t="b">
        <v>0</v>
      </c>
      <c r="M3894" t="b">
        <v>0</v>
      </c>
      <c r="N3894" t="inlineStr">
        <is>
          <t>alt</t>
        </is>
      </c>
      <c r="O3894" t="n">
        <v>-60</v>
      </c>
      <c r="P3894" t="n">
        <v>0.002563</v>
      </c>
      <c r="Q3894" t="n">
        <v>10</v>
      </c>
      <c r="R3894" t="n">
        <v>0.005005</v>
      </c>
      <c r="S3894">
        <f>IMAGE("https://mitra.stanford.edu/kundaje/oak/projects/neuro-variants/variant_position/credible/roussos_2024/variant_figures/roussos_2024.childhood.Astrocyte/rs7823681_count_position.png",4,220,900)</f>
        <v/>
      </c>
      <c r="T3894">
        <f>IMAGE("https://mitra.stanford.edu/kundaje/oak/projects/neuro-variants/variant_position/credible/roussos_2024/variant_figures/roussos_2024.childhood.Astrocyte/rs7823681_profile_position.png",4,220,900)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-0.0539758324</v>
      </c>
      <c r="G3895" t="n">
        <v>0.2201772008659536</v>
      </c>
      <c r="H3895" t="n">
        <v>0.0122869250222104</v>
      </c>
      <c r="I3895" t="n">
        <v>0.4834923492222052</v>
      </c>
      <c r="J3895" t="n">
        <v>0.0320914718386724</v>
      </c>
      <c r="K3895" t="n">
        <v>0.5161700674150133</v>
      </c>
      <c r="L3895" t="b">
        <v>0</v>
      </c>
      <c r="M3895" t="b">
        <v>0</v>
      </c>
      <c r="N3895" t="inlineStr">
        <is>
          <t>ref</t>
        </is>
      </c>
      <c r="O3895" t="n">
        <v>-20</v>
      </c>
      <c r="P3895" t="n">
        <v>0.01807</v>
      </c>
      <c r="Q3895" t="n">
        <v>70</v>
      </c>
      <c r="R3895" t="n">
        <v>0.0858</v>
      </c>
      <c r="S3895">
        <f>IMAGE("https://mitra.stanford.edu/kundaje/oak/projects/neuro-variants/variant_position/credible/roussos_2024/variant_figures/roussos_2024.childhood.Astrocyte/rs12386951_count_position.png",4,220,900)</f>
        <v/>
      </c>
      <c r="T3895">
        <f>IMAGE("https://mitra.stanford.edu/kundaje/oak/projects/neuro-variants/variant_position/credible/roussos_2024/variant_figures/roussos_2024.childhood.Astrocyte/rs12386951_profile_position.png",4,220,900)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0.11534478</v>
      </c>
      <c r="G3896" t="n">
        <v>0.05212877688705</v>
      </c>
      <c r="H3896" t="n">
        <v>0.0135839179252369</v>
      </c>
      <c r="I3896" t="n">
        <v>0.3857843320971006</v>
      </c>
      <c r="J3896" t="n">
        <v>0.0001755550975857</v>
      </c>
      <c r="K3896" t="n">
        <v>0.9800108143103704</v>
      </c>
      <c r="L3896" t="b">
        <v>0</v>
      </c>
      <c r="M3896" t="b">
        <v>0</v>
      </c>
      <c r="N3896" t="inlineStr">
        <is>
          <t>alt</t>
        </is>
      </c>
      <c r="O3896" t="n">
        <v>20</v>
      </c>
      <c r="P3896" t="n">
        <v>0.002338</v>
      </c>
      <c r="Q3896" t="n">
        <v>60</v>
      </c>
      <c r="R3896" t="n">
        <v>0.0741</v>
      </c>
      <c r="S3896">
        <f>IMAGE("https://mitra.stanford.edu/kundaje/oak/projects/neuro-variants/variant_position/credible/roussos_2024/variant_figures/roussos_2024.childhood.Astrocyte/rs28634296_count_position.png",4,220,900)</f>
        <v/>
      </c>
      <c r="T3896">
        <f>IMAGE("https://mitra.stanford.edu/kundaje/oak/projects/neuro-variants/variant_position/credible/roussos_2024/variant_figures/roussos_2024.childhood.Astrocyte/rs28634296_profile_position.png",4,220,900)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-0.191122986</v>
      </c>
      <c r="G3897" t="n">
        <v>0.0184298940600693</v>
      </c>
      <c r="H3897" t="n">
        <v>0.0331821996787054</v>
      </c>
      <c r="I3897" t="n">
        <v>0.0203263085756274</v>
      </c>
      <c r="J3897" t="n">
        <v>0.0542037813041453</v>
      </c>
      <c r="K3897" t="n">
        <v>0.4473995964394027</v>
      </c>
      <c r="L3897" t="b">
        <v>1</v>
      </c>
      <c r="M3897" t="b">
        <v>0</v>
      </c>
      <c r="N3897" t="inlineStr">
        <is>
          <t>ref</t>
        </is>
      </c>
      <c r="O3897" t="n">
        <v>-95</v>
      </c>
      <c r="P3897" t="n">
        <v>0.0472</v>
      </c>
      <c r="Q3897" t="n">
        <v>70</v>
      </c>
      <c r="R3897" t="n">
        <v>0.206</v>
      </c>
      <c r="S3897">
        <f>IMAGE("https://mitra.stanford.edu/kundaje/oak/projects/neuro-variants/variant_position/credible/roussos_2024/variant_figures/roussos_2024.childhood.Astrocyte/rs2130033_count_position.png",4,220,900)</f>
        <v/>
      </c>
      <c r="T3897">
        <f>IMAGE("https://mitra.stanford.edu/kundaje/oak/projects/neuro-variants/variant_position/credible/roussos_2024/variant_figures/roussos_2024.childhood.Astrocyte/rs2130033_profile_position.png",4,220,900)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0.0936420839999999</v>
      </c>
      <c r="G3898" t="n">
        <v>0.076647831827232</v>
      </c>
      <c r="H3898" t="n">
        <v>0.0100358534964135</v>
      </c>
      <c r="I3898" t="n">
        <v>0.717033739012273</v>
      </c>
      <c r="J3898" t="n">
        <v>0.0013594070817399</v>
      </c>
      <c r="K3898" t="n">
        <v>0.8952925444674448</v>
      </c>
      <c r="L3898" t="b">
        <v>0</v>
      </c>
      <c r="M3898" t="b">
        <v>0</v>
      </c>
      <c r="N3898" t="inlineStr">
        <is>
          <t>alt</t>
        </is>
      </c>
      <c r="O3898" t="n">
        <v>100</v>
      </c>
      <c r="P3898" t="n">
        <v>0.006172</v>
      </c>
      <c r="Q3898" t="n">
        <v>-20</v>
      </c>
      <c r="R3898" t="n">
        <v>0.03314</v>
      </c>
      <c r="S3898">
        <f>IMAGE("https://mitra.stanford.edu/kundaje/oak/projects/neuro-variants/variant_position/credible/roussos_2024/variant_figures/roussos_2024.childhood.Astrocyte/rs16887343_count_position.png",4,220,900)</f>
        <v/>
      </c>
      <c r="T3898">
        <f>IMAGE("https://mitra.stanford.edu/kundaje/oak/projects/neuro-variants/variant_position/credible/roussos_2024/variant_figures/roussos_2024.childhood.Astrocyte/rs16887343_profile_position.png",4,220,900)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-0.0472885162</v>
      </c>
      <c r="G3899" t="n">
        <v>0.2039474747754877</v>
      </c>
      <c r="H3899" t="n">
        <v>0.0257782279507206</v>
      </c>
      <c r="I3899" t="n">
        <v>0.0524980589748288</v>
      </c>
      <c r="J3899" t="n">
        <v>0.9494950882736828</v>
      </c>
      <c r="K3899" t="n">
        <v>0.0003097595968656</v>
      </c>
      <c r="L3899" t="b">
        <v>0</v>
      </c>
      <c r="M3899" t="b">
        <v>0</v>
      </c>
      <c r="N3899" t="inlineStr">
        <is>
          <t>ref</t>
        </is>
      </c>
      <c r="O3899" t="n">
        <v>70</v>
      </c>
      <c r="P3899" t="n">
        <v>0.008545000000000001</v>
      </c>
      <c r="Q3899" t="n">
        <v>-65</v>
      </c>
      <c r="R3899" t="n">
        <v>0.06884999999999999</v>
      </c>
      <c r="S3899">
        <f>IMAGE("https://mitra.stanford.edu/kundaje/oak/projects/neuro-variants/variant_position/credible/roussos_2024/variant_figures/roussos_2024.childhood.Astrocyte/rs60558877_count_position.png",4,220,900)</f>
        <v/>
      </c>
      <c r="T3899">
        <f>IMAGE("https://mitra.stanford.edu/kundaje/oak/projects/neuro-variants/variant_position/credible/roussos_2024/variant_figures/roussos_2024.childhood.Astrocyte/rs60558877_profile_position.png",4,220,900)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-0.1231038356</v>
      </c>
      <c r="G3900" t="n">
        <v>0.0539323972493629</v>
      </c>
      <c r="H3900" t="n">
        <v>0.0239072293039778</v>
      </c>
      <c r="I3900" t="n">
        <v>0.07268262178285401</v>
      </c>
      <c r="J3900" t="n">
        <v>0.6063978383824506</v>
      </c>
      <c r="K3900" t="n">
        <v>0.0308948874055868</v>
      </c>
      <c r="L3900" t="b">
        <v>0</v>
      </c>
      <c r="M3900" t="b">
        <v>0</v>
      </c>
      <c r="N3900" t="inlineStr">
        <is>
          <t>ref</t>
        </is>
      </c>
      <c r="O3900" t="n">
        <v>-90</v>
      </c>
      <c r="P3900" t="n">
        <v>0.00673</v>
      </c>
      <c r="Q3900" t="n">
        <v>100</v>
      </c>
      <c r="R3900" t="n">
        <v>0.3875</v>
      </c>
      <c r="S3900">
        <f>IMAGE("https://mitra.stanford.edu/kundaje/oak/projects/neuro-variants/variant_position/credible/roussos_2024/variant_figures/roussos_2024.childhood.Astrocyte/rs2016875_count_position.png",4,220,900)</f>
        <v/>
      </c>
      <c r="T3900">
        <f>IMAGE("https://mitra.stanford.edu/kundaje/oak/projects/neuro-variants/variant_position/credible/roussos_2024/variant_figures/roussos_2024.childhood.Astrocyte/rs2016875_profile_position.png",4,220,900)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0.0597983213999999</v>
      </c>
      <c r="G3901" t="n">
        <v>0.1613440740338961</v>
      </c>
      <c r="H3901" t="n">
        <v>0.0116702803302224</v>
      </c>
      <c r="I3901" t="n">
        <v>0.5292394300136456</v>
      </c>
      <c r="J3901" t="n">
        <v>0.4014273392716753</v>
      </c>
      <c r="K3901" t="n">
        <v>0.0855085367556985</v>
      </c>
      <c r="L3901" t="b">
        <v>0</v>
      </c>
      <c r="M3901" t="b">
        <v>0</v>
      </c>
      <c r="N3901" t="inlineStr">
        <is>
          <t>alt</t>
        </is>
      </c>
      <c r="O3901" t="n">
        <v>5</v>
      </c>
      <c r="P3901" t="n">
        <v>0.0009003</v>
      </c>
      <c r="Q3901" t="n">
        <v>-5</v>
      </c>
      <c r="R3901" t="n">
        <v>0.02393</v>
      </c>
      <c r="S3901">
        <f>IMAGE("https://mitra.stanford.edu/kundaje/oak/projects/neuro-variants/variant_position/credible/roussos_2024/variant_figures/roussos_2024.childhood.Astrocyte/rs28681082_count_position.png",4,220,900)</f>
        <v/>
      </c>
      <c r="T3901">
        <f>IMAGE("https://mitra.stanford.edu/kundaje/oak/projects/neuro-variants/variant_position/credible/roussos_2024/variant_figures/roussos_2024.childhood.Astrocyte/rs28681082_profile_position.png",4,220,900)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0.290563406</v>
      </c>
      <c r="G3902" t="n">
        <v>0.006721587940306</v>
      </c>
      <c r="H3902" t="n">
        <v>0.0372114990225725</v>
      </c>
      <c r="I3902" t="n">
        <v>0.0129251208039474</v>
      </c>
      <c r="J3902" t="n">
        <v>0.4223817483761153</v>
      </c>
      <c r="K3902" t="n">
        <v>0.0792600938095081</v>
      </c>
      <c r="L3902" t="b">
        <v>1</v>
      </c>
      <c r="M3902" t="b">
        <v>1</v>
      </c>
      <c r="N3902" t="inlineStr">
        <is>
          <t>alt</t>
        </is>
      </c>
      <c r="O3902" t="n">
        <v>100</v>
      </c>
      <c r="P3902" t="n">
        <v>0.004333</v>
      </c>
      <c r="Q3902" t="n">
        <v>-15</v>
      </c>
      <c r="R3902" t="n">
        <v>0.0586</v>
      </c>
      <c r="S3902">
        <f>IMAGE("https://mitra.stanford.edu/kundaje/oak/projects/neuro-variants/variant_position/credible/roussos_2024/variant_figures/roussos_2024.childhood.Astrocyte/rs4647905_count_position.png",4,220,900)</f>
        <v/>
      </c>
      <c r="T3902">
        <f>IMAGE("https://mitra.stanford.edu/kundaje/oak/projects/neuro-variants/variant_position/credible/roussos_2024/variant_figures/roussos_2024.childhood.Astrocyte/rs4647905_profile_position.png",4,220,900)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-0.0431527232</v>
      </c>
      <c r="G3903" t="n">
        <v>0.2270625710926008</v>
      </c>
      <c r="H3903" t="n">
        <v>0.0137344904122418</v>
      </c>
      <c r="I3903" t="n">
        <v>0.3777422828864953</v>
      </c>
      <c r="J3903" t="n">
        <v>0.6457275232228863</v>
      </c>
      <c r="K3903" t="n">
        <v>0.0255894456721831</v>
      </c>
      <c r="L3903" t="b">
        <v>0</v>
      </c>
      <c r="M3903" t="b">
        <v>0</v>
      </c>
      <c r="N3903" t="inlineStr">
        <is>
          <t>ref</t>
        </is>
      </c>
      <c r="O3903" t="n">
        <v>100</v>
      </c>
      <c r="P3903" t="n">
        <v>0.003807</v>
      </c>
      <c r="Q3903" t="n">
        <v>40</v>
      </c>
      <c r="R3903" t="n">
        <v>0.06444999999999999</v>
      </c>
      <c r="S3903">
        <f>IMAGE("https://mitra.stanford.edu/kundaje/oak/projects/neuro-variants/variant_position/credible/roussos_2024/variant_figures/roussos_2024.childhood.Astrocyte/rs4647907_count_position.png",4,220,900)</f>
        <v/>
      </c>
      <c r="T3903">
        <f>IMAGE("https://mitra.stanford.edu/kundaje/oak/projects/neuro-variants/variant_position/credible/roussos_2024/variant_figures/roussos_2024.childhood.Astrocyte/rs4647907_profile_position.png",4,220,900)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0.0007213956999999</v>
      </c>
      <c r="G3904" t="n">
        <v>0.6482020642699149</v>
      </c>
      <c r="H3904" t="n">
        <v>0.0101699934495579</v>
      </c>
      <c r="I3904" t="n">
        <v>0.6971597351384061</v>
      </c>
      <c r="J3904" t="n">
        <v>0.3277544976452718</v>
      </c>
      <c r="K3904" t="n">
        <v>0.1194251249986915</v>
      </c>
      <c r="L3904" t="b">
        <v>0</v>
      </c>
      <c r="M3904" t="b">
        <v>0</v>
      </c>
      <c r="N3904" t="inlineStr">
        <is>
          <t>alt</t>
        </is>
      </c>
      <c r="O3904" t="n">
        <v>-60</v>
      </c>
      <c r="P3904" t="n">
        <v>0.003452</v>
      </c>
      <c r="Q3904" t="n">
        <v>60</v>
      </c>
      <c r="R3904" t="n">
        <v>0.10455</v>
      </c>
      <c r="S3904">
        <f>IMAGE("https://mitra.stanford.edu/kundaje/oak/projects/neuro-variants/variant_position/credible/roussos_2024/variant_figures/roussos_2024.childhood.Astrocyte/rs7005874_count_position.png",4,220,900)</f>
        <v/>
      </c>
      <c r="T3904">
        <f>IMAGE("https://mitra.stanford.edu/kundaje/oak/projects/neuro-variants/variant_position/credible/roussos_2024/variant_figures/roussos_2024.childhood.Astrocyte/rs7005874_profile_position.png",4,220,900)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-0.34234188</v>
      </c>
      <c r="G3905" t="n">
        <v>0.0038353365488144</v>
      </c>
      <c r="H3905" t="n">
        <v>0.0377237944033256</v>
      </c>
      <c r="I3905" t="n">
        <v>0.0138340356508993</v>
      </c>
      <c r="J3905" t="n">
        <v>0.2280132505934525</v>
      </c>
      <c r="K3905" t="n">
        <v>0.1851825968329581</v>
      </c>
      <c r="L3905" t="b">
        <v>1</v>
      </c>
      <c r="M3905" t="b">
        <v>1</v>
      </c>
      <c r="N3905" t="inlineStr">
        <is>
          <t>ref</t>
        </is>
      </c>
      <c r="O3905" t="n">
        <v>100</v>
      </c>
      <c r="P3905" t="n">
        <v>0.009090000000000001</v>
      </c>
      <c r="Q3905" t="n">
        <v>55</v>
      </c>
      <c r="R3905" t="n">
        <v>0.1094</v>
      </c>
      <c r="S3905">
        <f>IMAGE("https://mitra.stanford.edu/kundaje/oak/projects/neuro-variants/variant_position/credible/roussos_2024/variant_figures/roussos_2024.childhood.Astrocyte/rs62640287_count_position.png",4,220,900)</f>
        <v/>
      </c>
      <c r="T3905">
        <f>IMAGE("https://mitra.stanford.edu/kundaje/oak/projects/neuro-variants/variant_position/credible/roussos_2024/variant_figures/roussos_2024.childhood.Astrocyte/rs62640287_profile_position.png",4,220,900)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0.0035312456199999</v>
      </c>
      <c r="G3906" t="n">
        <v>0.7828112989817532</v>
      </c>
      <c r="H3906" t="n">
        <v>0.0102399207766035</v>
      </c>
      <c r="I3906" t="n">
        <v>0.6782926229496781</v>
      </c>
      <c r="J3906" t="n">
        <v>0.1784181722424491</v>
      </c>
      <c r="K3906" t="n">
        <v>0.227106614377232</v>
      </c>
      <c r="L3906" t="b">
        <v>0</v>
      </c>
      <c r="M3906" t="b">
        <v>0</v>
      </c>
      <c r="N3906" t="inlineStr">
        <is>
          <t>alt</t>
        </is>
      </c>
      <c r="O3906" t="n">
        <v>15</v>
      </c>
      <c r="P3906" t="n">
        <v>0.001888</v>
      </c>
      <c r="Q3906" t="n">
        <v>-65</v>
      </c>
      <c r="R3906" t="n">
        <v>0.06555</v>
      </c>
      <c r="S3906">
        <f>IMAGE("https://mitra.stanford.edu/kundaje/oak/projects/neuro-variants/variant_position/credible/roussos_2024/variant_figures/roussos_2024.childhood.Astrocyte/rs16890077_count_position.png",4,220,900)</f>
        <v/>
      </c>
      <c r="T3906">
        <f>IMAGE("https://mitra.stanford.edu/kundaje/oak/projects/neuro-variants/variant_position/credible/roussos_2024/variant_figures/roussos_2024.childhood.Astrocyte/rs16890077_profile_position.png",4,220,900)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0.0189475948</v>
      </c>
      <c r="G3907" t="n">
        <v>0.5283194045741187</v>
      </c>
      <c r="H3907" t="n">
        <v>0.0235257533119035</v>
      </c>
      <c r="I3907" t="n">
        <v>0.0741681457031271</v>
      </c>
      <c r="J3907" t="n">
        <v>0.0061268729057421</v>
      </c>
      <c r="K3907" t="n">
        <v>0.7577696059980595</v>
      </c>
      <c r="L3907" t="b">
        <v>0</v>
      </c>
      <c r="M3907" t="b">
        <v>0</v>
      </c>
      <c r="N3907" t="inlineStr">
        <is>
          <t>alt</t>
        </is>
      </c>
      <c r="O3907" t="n">
        <v>-25</v>
      </c>
      <c r="P3907" t="n">
        <v>0.00293</v>
      </c>
      <c r="Q3907" t="n">
        <v>-25</v>
      </c>
      <c r="R3907" t="n">
        <v>0.03827</v>
      </c>
      <c r="S3907">
        <f>IMAGE("https://mitra.stanford.edu/kundaje/oak/projects/neuro-variants/variant_position/credible/roussos_2024/variant_figures/roussos_2024.childhood.Astrocyte/rs4498530_count_position.png",4,220,900)</f>
        <v/>
      </c>
      <c r="T3907">
        <f>IMAGE("https://mitra.stanford.edu/kundaje/oak/projects/neuro-variants/variant_position/credible/roussos_2024/variant_figures/roussos_2024.childhood.Astrocyte/rs4498530_profile_position.png",4,220,900)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-0.0006822918599999</v>
      </c>
      <c r="G3908" t="n">
        <v>0.8803950814074816</v>
      </c>
      <c r="H3908" t="n">
        <v>0.0096355409530331</v>
      </c>
      <c r="I3908" t="n">
        <v>0.7473824328860877</v>
      </c>
      <c r="J3908" t="n">
        <v>0.002260081060658</v>
      </c>
      <c r="K3908" t="n">
        <v>0.854235699087054</v>
      </c>
      <c r="L3908" t="b">
        <v>0</v>
      </c>
      <c r="M3908" t="b">
        <v>0</v>
      </c>
      <c r="N3908" t="inlineStr">
        <is>
          <t>ref</t>
        </is>
      </c>
      <c r="O3908" t="n">
        <v>75</v>
      </c>
      <c r="P3908" t="n">
        <v>0.012344</v>
      </c>
      <c r="Q3908" t="n">
        <v>-95</v>
      </c>
      <c r="R3908" t="n">
        <v>0.07416</v>
      </c>
      <c r="S3908">
        <f>IMAGE("https://mitra.stanford.edu/kundaje/oak/projects/neuro-variants/variant_position/credible/roussos_2024/variant_figures/roussos_2024.childhood.Astrocyte/rs10105030_count_position.png",4,220,900)</f>
        <v/>
      </c>
      <c r="T3908">
        <f>IMAGE("https://mitra.stanford.edu/kundaje/oak/projects/neuro-variants/variant_position/credible/roussos_2024/variant_figures/roussos_2024.childhood.Astrocyte/rs10105030_profile_position.png",4,220,900)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0.0312258916</v>
      </c>
      <c r="G3909" t="n">
        <v>0.360555931391235</v>
      </c>
      <c r="H3909" t="n">
        <v>0.0389696285649132</v>
      </c>
      <c r="I3909" t="n">
        <v>0.0107237213381211</v>
      </c>
      <c r="J3909" t="n">
        <v>0.0748887514979429</v>
      </c>
      <c r="K3909" t="n">
        <v>0.3785741758486628</v>
      </c>
      <c r="L3909" t="b">
        <v>1</v>
      </c>
      <c r="M3909" t="b">
        <v>0</v>
      </c>
      <c r="N3909" t="inlineStr">
        <is>
          <t>alt</t>
        </is>
      </c>
      <c r="O3909" t="n">
        <v>-100</v>
      </c>
      <c r="P3909" t="n">
        <v>0.01387</v>
      </c>
      <c r="Q3909" t="n">
        <v>-60</v>
      </c>
      <c r="R3909" t="n">
        <v>0.0785</v>
      </c>
      <c r="S3909">
        <f>IMAGE("https://mitra.stanford.edu/kundaje/oak/projects/neuro-variants/variant_position/credible/roussos_2024/variant_figures/roussos_2024.childhood.Astrocyte/rs4873621_count_position.png",4,220,900)</f>
        <v/>
      </c>
      <c r="T3909">
        <f>IMAGE("https://mitra.stanford.edu/kundaje/oak/projects/neuro-variants/variant_position/credible/roussos_2024/variant_figures/roussos_2024.childhood.Astrocyte/rs4873621_profile_position.png",4,220,900)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-0.0244237361999999</v>
      </c>
      <c r="G3910" t="n">
        <v>0.4402462972731718</v>
      </c>
      <c r="H3910" t="n">
        <v>0.0103542242516069</v>
      </c>
      <c r="I3910" t="n">
        <v>0.6592503521887321</v>
      </c>
      <c r="J3910" t="n">
        <v>0.0704044636791768</v>
      </c>
      <c r="K3910" t="n">
        <v>0.3853615226231945</v>
      </c>
      <c r="L3910" t="b">
        <v>0</v>
      </c>
      <c r="M3910" t="b">
        <v>0</v>
      </c>
      <c r="N3910" t="inlineStr">
        <is>
          <t>ref</t>
        </is>
      </c>
      <c r="O3910" t="n">
        <v>-40</v>
      </c>
      <c r="P3910" t="n">
        <v>0.003857</v>
      </c>
      <c r="Q3910" t="n">
        <v>55</v>
      </c>
      <c r="R3910" t="n">
        <v>0.0617</v>
      </c>
      <c r="S3910">
        <f>IMAGE("https://mitra.stanford.edu/kundaje/oak/projects/neuro-variants/variant_position/credible/roussos_2024/variant_figures/roussos_2024.childhood.Astrocyte/rs16917075_count_position.png",4,220,900)</f>
        <v/>
      </c>
      <c r="T3910">
        <f>IMAGE("https://mitra.stanford.edu/kundaje/oak/projects/neuro-variants/variant_position/credible/roussos_2024/variant_figures/roussos_2024.childhood.Astrocyte/rs16917075_profile_position.png",4,220,900)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0.00190797412</v>
      </c>
      <c r="G3911" t="n">
        <v>0.8299006581435044</v>
      </c>
      <c r="H3911" t="n">
        <v>0.0095834612940899</v>
      </c>
      <c r="I3911" t="n">
        <v>0.766368115889877</v>
      </c>
      <c r="J3911" t="n">
        <v>0.0047979971453214</v>
      </c>
      <c r="K3911" t="n">
        <v>0.7883636150607276</v>
      </c>
      <c r="L3911" t="b">
        <v>0</v>
      </c>
      <c r="M3911" t="b">
        <v>0</v>
      </c>
      <c r="N3911" t="inlineStr">
        <is>
          <t>alt</t>
        </is>
      </c>
      <c r="O3911" t="n">
        <v>90</v>
      </c>
      <c r="P3911" t="n">
        <v>0.004875</v>
      </c>
      <c r="Q3911" t="n">
        <v>-65</v>
      </c>
      <c r="R3911" t="n">
        <v>0.0853</v>
      </c>
      <c r="S3911">
        <f>IMAGE("https://mitra.stanford.edu/kundaje/oak/projects/neuro-variants/variant_position/credible/roussos_2024/variant_figures/roussos_2024.childhood.Astrocyte/rs62514618_count_position.png",4,220,900)</f>
        <v/>
      </c>
      <c r="T3911">
        <f>IMAGE("https://mitra.stanford.edu/kundaje/oak/projects/neuro-variants/variant_position/credible/roussos_2024/variant_figures/roussos_2024.childhood.Astrocyte/rs62514618_profile_position.png",4,220,900)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-0.1335342186</v>
      </c>
      <c r="G3912" t="n">
        <v>0.0479535747539281</v>
      </c>
      <c r="H3912" t="n">
        <v>0.0153870141077228</v>
      </c>
      <c r="I3912" t="n">
        <v>0.2833931965027997</v>
      </c>
      <c r="J3912" t="n">
        <v>0.046187019608741</v>
      </c>
      <c r="K3912" t="n">
        <v>0.476373483307756</v>
      </c>
      <c r="L3912" t="b">
        <v>0</v>
      </c>
      <c r="M3912" t="b">
        <v>0</v>
      </c>
      <c r="N3912" t="inlineStr">
        <is>
          <t>ref</t>
        </is>
      </c>
      <c r="O3912" t="n">
        <v>70</v>
      </c>
      <c r="P3912" t="n">
        <v>0.005585</v>
      </c>
      <c r="Q3912" t="n">
        <v>55</v>
      </c>
      <c r="R3912" t="n">
        <v>0.03735</v>
      </c>
      <c r="S3912">
        <f>IMAGE("https://mitra.stanford.edu/kundaje/oak/projects/neuro-variants/variant_position/credible/roussos_2024/variant_figures/roussos_2024.childhood.Astrocyte/rs41444144_count_position.png",4,220,900)</f>
        <v/>
      </c>
      <c r="T3912">
        <f>IMAGE("https://mitra.stanford.edu/kundaje/oak/projects/neuro-variants/variant_position/credible/roussos_2024/variant_figures/roussos_2024.childhood.Astrocyte/rs41444144_profile_position.png",4,220,900)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0.04051768532</v>
      </c>
      <c r="G3913" t="n">
        <v>0.297209099637151</v>
      </c>
      <c r="H3913" t="n">
        <v>0.0187844903109935</v>
      </c>
      <c r="I3913" t="n">
        <v>0.1566117648840619</v>
      </c>
      <c r="J3913" t="n">
        <v>0.0002625693633456</v>
      </c>
      <c r="K3913" t="n">
        <v>0.9753255280579624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0.01671</v>
      </c>
      <c r="Q3913" t="n">
        <v>50</v>
      </c>
      <c r="R3913" t="n">
        <v>0.03845</v>
      </c>
      <c r="S3913">
        <f>IMAGE("https://mitra.stanford.edu/kundaje/oak/projects/neuro-variants/variant_position/credible/roussos_2024/variant_figures/roussos_2024.childhood.Astrocyte/rs858392_count_position.png",4,220,900)</f>
        <v/>
      </c>
      <c r="T3913">
        <f>IMAGE("https://mitra.stanford.edu/kundaje/oak/projects/neuro-variants/variant_position/credible/roussos_2024/variant_figures/roussos_2024.childhood.Astrocyte/rs858392_profile_position.png",4,220,900)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0.05031575251</v>
      </c>
      <c r="G3914" t="n">
        <v>0.2324133707363473</v>
      </c>
      <c r="H3914" t="n">
        <v>0.0249027215907098</v>
      </c>
      <c r="I3914" t="n">
        <v>0.059883216639647</v>
      </c>
      <c r="J3914" t="n">
        <v>0.0181752955813544</v>
      </c>
      <c r="K3914" t="n">
        <v>0.6280694134326869</v>
      </c>
      <c r="L3914" t="b">
        <v>0</v>
      </c>
      <c r="M3914" t="b">
        <v>0</v>
      </c>
      <c r="N3914" t="inlineStr">
        <is>
          <t>alt</t>
        </is>
      </c>
      <c r="O3914" t="n">
        <v>80</v>
      </c>
      <c r="P3914" t="n">
        <v>0.01697</v>
      </c>
      <c r="Q3914" t="n">
        <v>-60</v>
      </c>
      <c r="R3914" t="n">
        <v>0.04102</v>
      </c>
      <c r="S3914">
        <f>IMAGE("https://mitra.stanford.edu/kundaje/oak/projects/neuro-variants/variant_position/credible/roussos_2024/variant_figures/roussos_2024.childhood.Astrocyte/rs72650344_count_position.png",4,220,900)</f>
        <v/>
      </c>
      <c r="T3914">
        <f>IMAGE("https://mitra.stanford.edu/kundaje/oak/projects/neuro-variants/variant_position/credible/roussos_2024/variant_figures/roussos_2024.childhood.Astrocyte/rs72650344_profile_position.png",4,220,900)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0.1176688867999999</v>
      </c>
      <c r="G3915" t="n">
        <v>0.0516222486533044</v>
      </c>
      <c r="H3915" t="n">
        <v>0.0223945077409828</v>
      </c>
      <c r="I3915" t="n">
        <v>0.08773093625937391</v>
      </c>
      <c r="J3915" t="n">
        <v>0.0437208521291779</v>
      </c>
      <c r="K3915" t="n">
        <v>0.4662597773551825</v>
      </c>
      <c r="L3915" t="b">
        <v>0</v>
      </c>
      <c r="M3915" t="b">
        <v>0</v>
      </c>
      <c r="N3915" t="inlineStr">
        <is>
          <t>alt</t>
        </is>
      </c>
      <c r="O3915" t="n">
        <v>-90</v>
      </c>
      <c r="P3915" t="n">
        <v>0.007095</v>
      </c>
      <c r="Q3915" t="n">
        <v>-30</v>
      </c>
      <c r="R3915" t="n">
        <v>0.105</v>
      </c>
      <c r="S3915">
        <f>IMAGE("https://mitra.stanford.edu/kundaje/oak/projects/neuro-variants/variant_position/credible/roussos_2024/variant_figures/roussos_2024.childhood.Astrocyte/rs6984055_count_position.png",4,220,900)</f>
        <v/>
      </c>
      <c r="T3915">
        <f>IMAGE("https://mitra.stanford.edu/kundaje/oak/projects/neuro-variants/variant_position/credible/roussos_2024/variant_figures/roussos_2024.childhood.Astrocyte/rs6984055_profile_position.png",4,220,900)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0.00052327334</v>
      </c>
      <c r="G3916" t="n">
        <v>0.9117627156404708</v>
      </c>
      <c r="H3916" t="n">
        <v>0.0134563452827601</v>
      </c>
      <c r="I3916" t="n">
        <v>0.3969601175751205</v>
      </c>
      <c r="J3916" t="n">
        <v>0.0770595284437421</v>
      </c>
      <c r="K3916" t="n">
        <v>0.3703256635446191</v>
      </c>
      <c r="L3916" t="b">
        <v>0</v>
      </c>
      <c r="M3916" t="b">
        <v>0</v>
      </c>
      <c r="N3916" t="inlineStr">
        <is>
          <t>alt</t>
        </is>
      </c>
      <c r="O3916" t="n">
        <v>-10</v>
      </c>
      <c r="P3916" t="n">
        <v>0.00357</v>
      </c>
      <c r="Q3916" t="n">
        <v>-95</v>
      </c>
      <c r="R3916" t="n">
        <v>0.09436</v>
      </c>
      <c r="S3916">
        <f>IMAGE("https://mitra.stanford.edu/kundaje/oak/projects/neuro-variants/variant_position/credible/roussos_2024/variant_figures/roussos_2024.childhood.Astrocyte/rs56956895_count_position.png",4,220,900)</f>
        <v/>
      </c>
      <c r="T3916">
        <f>IMAGE("https://mitra.stanford.edu/kundaje/oak/projects/neuro-variants/variant_position/credible/roussos_2024/variant_figures/roussos_2024.childhood.Astrocyte/rs56956895_profile_position.png",4,220,900)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0.09869263759999999</v>
      </c>
      <c r="G3917" t="n">
        <v>0.0888340223154908</v>
      </c>
      <c r="H3917" t="n">
        <v>0.0213916074798583</v>
      </c>
      <c r="I3917" t="n">
        <v>0.1118542132461881</v>
      </c>
      <c r="J3917" t="n">
        <v>0.0135528535336187</v>
      </c>
      <c r="K3917" t="n">
        <v>0.6570294953068198</v>
      </c>
      <c r="L3917" t="b">
        <v>0</v>
      </c>
      <c r="M3917" t="b">
        <v>0</v>
      </c>
      <c r="N3917" t="inlineStr">
        <is>
          <t>alt</t>
        </is>
      </c>
      <c r="O3917" t="n">
        <v>45</v>
      </c>
      <c r="P3917" t="n">
        <v>0.000557</v>
      </c>
      <c r="Q3917" t="n">
        <v>-75</v>
      </c>
      <c r="R3917" t="n">
        <v>0.03864</v>
      </c>
      <c r="S3917">
        <f>IMAGE("https://mitra.stanford.edu/kundaje/oak/projects/neuro-variants/variant_position/credible/roussos_2024/variant_figures/roussos_2024.childhood.Astrocyte/rs9298512_count_position.png",4,220,900)</f>
        <v/>
      </c>
      <c r="T3917">
        <f>IMAGE("https://mitra.stanford.edu/kundaje/oak/projects/neuro-variants/variant_position/credible/roussos_2024/variant_figures/roussos_2024.childhood.Astrocyte/rs9298512_profile_position.png",4,220,900)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0.0228229438</v>
      </c>
      <c r="G3918" t="n">
        <v>0.4513665286778406</v>
      </c>
      <c r="H3918" t="n">
        <v>0.0125239023325541</v>
      </c>
      <c r="I3918" t="n">
        <v>0.4699508743467128</v>
      </c>
      <c r="J3918" t="n">
        <v>0.0481456038713715</v>
      </c>
      <c r="K3918" t="n">
        <v>0.453593778211257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0.02956</v>
      </c>
      <c r="Q3918" t="n">
        <v>-100</v>
      </c>
      <c r="R3918" t="n">
        <v>0.3516</v>
      </c>
      <c r="S3918">
        <f>IMAGE("https://mitra.stanford.edu/kundaje/oak/projects/neuro-variants/variant_position/credible/roussos_2024/variant_figures/roussos_2024.childhood.Astrocyte/rs1498180_count_position.png",4,220,900)</f>
        <v/>
      </c>
      <c r="T3918">
        <f>IMAGE("https://mitra.stanford.edu/kundaje/oak/projects/neuro-variants/variant_position/credible/roussos_2024/variant_figures/roussos_2024.childhood.Astrocyte/rs1498180_profile_position.png",4,220,900)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-0.069818989</v>
      </c>
      <c r="G3919" t="n">
        <v>0.135872713007207</v>
      </c>
      <c r="H3919" t="n">
        <v>0.0116723193862982</v>
      </c>
      <c r="I3919" t="n">
        <v>0.5428056674891552</v>
      </c>
      <c r="J3919" t="n">
        <v>0.0148229565004999</v>
      </c>
      <c r="K3919" t="n">
        <v>0.6611790716801648</v>
      </c>
      <c r="L3919" t="b">
        <v>0</v>
      </c>
      <c r="M3919" t="b">
        <v>0</v>
      </c>
      <c r="N3919" t="inlineStr">
        <is>
          <t>ref</t>
        </is>
      </c>
      <c r="O3919" t="n">
        <v>15</v>
      </c>
      <c r="P3919" t="n">
        <v>0.006756</v>
      </c>
      <c r="Q3919" t="n">
        <v>5</v>
      </c>
      <c r="R3919" t="n">
        <v>0.002869</v>
      </c>
      <c r="S3919">
        <f>IMAGE("https://mitra.stanford.edu/kundaje/oak/projects/neuro-variants/variant_position/credible/roussos_2024/variant_figures/roussos_2024.childhood.Astrocyte/rs1498179_count_position.png",4,220,900)</f>
        <v/>
      </c>
      <c r="T3919">
        <f>IMAGE("https://mitra.stanford.edu/kundaje/oak/projects/neuro-variants/variant_position/credible/roussos_2024/variant_figures/roussos_2024.childhood.Astrocyte/rs1498179_profile_position.png",4,220,900)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-0.0212728599999999</v>
      </c>
      <c r="G3920" t="n">
        <v>0.522225112389276</v>
      </c>
      <c r="H3920" t="n">
        <v>0.0163748635168565</v>
      </c>
      <c r="I3920" t="n">
        <v>0.2329791317386474</v>
      </c>
      <c r="J3920" t="n">
        <v>0.0024386892903757</v>
      </c>
      <c r="K3920" t="n">
        <v>0.8433435489531457</v>
      </c>
      <c r="L3920" t="b">
        <v>0</v>
      </c>
      <c r="M3920" t="b">
        <v>0</v>
      </c>
      <c r="N3920" t="inlineStr">
        <is>
          <t>ref</t>
        </is>
      </c>
      <c r="O3920" t="n">
        <v>-55</v>
      </c>
      <c r="P3920" t="n">
        <v>0.001274</v>
      </c>
      <c r="Q3920" t="n">
        <v>95</v>
      </c>
      <c r="R3920" t="n">
        <v>0.1003</v>
      </c>
      <c r="S3920">
        <f>IMAGE("https://mitra.stanford.edu/kundaje/oak/projects/neuro-variants/variant_position/credible/roussos_2024/variant_figures/roussos_2024.childhood.Astrocyte/rs10108316_count_position.png",4,220,900)</f>
        <v/>
      </c>
      <c r="T3920">
        <f>IMAGE("https://mitra.stanford.edu/kundaje/oak/projects/neuro-variants/variant_position/credible/roussos_2024/variant_figures/roussos_2024.childhood.Astrocyte/rs10108316_profile_position.png",4,220,900)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-0.0171745112</v>
      </c>
      <c r="G3921" t="n">
        <v>0.5774173307619597</v>
      </c>
      <c r="H3921" t="n">
        <v>0.0072999750369656</v>
      </c>
      <c r="I3921" t="n">
        <v>0.949144591293118</v>
      </c>
      <c r="J3921" t="n">
        <v>6.945875600131285e-05</v>
      </c>
      <c r="K3921" t="n">
        <v>0.9903197534751038</v>
      </c>
      <c r="L3921" t="b">
        <v>0</v>
      </c>
      <c r="M3921" t="b">
        <v>0</v>
      </c>
      <c r="N3921" t="inlineStr">
        <is>
          <t>ref</t>
        </is>
      </c>
      <c r="O3921" t="n">
        <v>50</v>
      </c>
      <c r="P3921" t="n">
        <v>0.004993</v>
      </c>
      <c r="Q3921" t="n">
        <v>80</v>
      </c>
      <c r="R3921" t="n">
        <v>0.1025</v>
      </c>
      <c r="S3921">
        <f>IMAGE("https://mitra.stanford.edu/kundaje/oak/projects/neuro-variants/variant_position/credible/roussos_2024/variant_figures/roussos_2024.childhood.Astrocyte/rs4737804_count_position.png",4,220,900)</f>
        <v/>
      </c>
      <c r="T3921">
        <f>IMAGE("https://mitra.stanford.edu/kundaje/oak/projects/neuro-variants/variant_position/credible/roussos_2024/variant_figures/roussos_2024.childhood.Astrocyte/rs4737804_profile_position.png",4,220,900)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0.137534334</v>
      </c>
      <c r="G3922" t="n">
        <v>0.0389040577448408</v>
      </c>
      <c r="H3922" t="n">
        <v>0.0221836109611409</v>
      </c>
      <c r="I3922" t="n">
        <v>0.096184492302161</v>
      </c>
      <c r="J3922" t="n">
        <v>0.0023577812888796</v>
      </c>
      <c r="K3922" t="n">
        <v>0.8574480734690019</v>
      </c>
      <c r="L3922" t="b">
        <v>0</v>
      </c>
      <c r="M3922" t="b">
        <v>0</v>
      </c>
      <c r="N3922" t="inlineStr">
        <is>
          <t>alt</t>
        </is>
      </c>
      <c r="O3922" t="n">
        <v>-25</v>
      </c>
      <c r="P3922" t="n">
        <v>0.004677</v>
      </c>
      <c r="Q3922" t="n">
        <v>-85</v>
      </c>
      <c r="R3922" t="n">
        <v>0.1678</v>
      </c>
      <c r="S3922">
        <f>IMAGE("https://mitra.stanford.edu/kundaje/oak/projects/neuro-variants/variant_position/credible/roussos_2024/variant_figures/roussos_2024.childhood.Astrocyte/rs4737807_count_position.png",4,220,900)</f>
        <v/>
      </c>
      <c r="T3922">
        <f>IMAGE("https://mitra.stanford.edu/kundaje/oak/projects/neuro-variants/variant_position/credible/roussos_2024/variant_figures/roussos_2024.childhood.Astrocyte/rs4737807_profile_position.png",4,220,900)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-0.18546453</v>
      </c>
      <c r="G3923" t="n">
        <v>0.0202879448824065</v>
      </c>
      <c r="H3923" t="n">
        <v>0.0211716045894967</v>
      </c>
      <c r="I3923" t="n">
        <v>0.1060077852029336</v>
      </c>
      <c r="J3923" t="n">
        <v>0.2839405249860701</v>
      </c>
      <c r="K3923" t="n">
        <v>0.1423847989157577</v>
      </c>
      <c r="L3923" t="b">
        <v>1</v>
      </c>
      <c r="M3923" t="b">
        <v>0</v>
      </c>
      <c r="N3923" t="inlineStr">
        <is>
          <t>ref</t>
        </is>
      </c>
      <c r="O3923" t="n">
        <v>-95</v>
      </c>
      <c r="P3923" t="n">
        <v>0.00743</v>
      </c>
      <c r="Q3923" t="n">
        <v>55</v>
      </c>
      <c r="R3923" t="n">
        <v>0.0747</v>
      </c>
      <c r="S3923">
        <f>IMAGE("https://mitra.stanford.edu/kundaje/oak/projects/neuro-variants/variant_position/credible/roussos_2024/variant_figures/roussos_2024.childhood.Astrocyte/rs34401803_count_position.png",4,220,900)</f>
        <v/>
      </c>
      <c r="T3923">
        <f>IMAGE("https://mitra.stanford.edu/kundaje/oak/projects/neuro-variants/variant_position/credible/roussos_2024/variant_figures/roussos_2024.childhood.Astrocyte/rs34401803_profile_position.png",4,220,900)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0.02227333112</v>
      </c>
      <c r="G3924" t="n">
        <v>0.4941377879305995</v>
      </c>
      <c r="H3924" t="n">
        <v>0.0101162427960347</v>
      </c>
      <c r="I3924" t="n">
        <v>0.6935346599008132</v>
      </c>
      <c r="J3924" t="n">
        <v>0.0168937433689786</v>
      </c>
      <c r="K3924" t="n">
        <v>0.6140609714818024</v>
      </c>
      <c r="L3924" t="b">
        <v>0</v>
      </c>
      <c r="M3924" t="b">
        <v>0</v>
      </c>
      <c r="N3924" t="inlineStr">
        <is>
          <t>alt</t>
        </is>
      </c>
      <c r="O3924" t="n">
        <v>-5</v>
      </c>
      <c r="P3924" t="n">
        <v>0.000561</v>
      </c>
      <c r="Q3924" t="n">
        <v>100</v>
      </c>
      <c r="R3924" t="n">
        <v>0.1293</v>
      </c>
      <c r="S3924">
        <f>IMAGE("https://mitra.stanford.edu/kundaje/oak/projects/neuro-variants/variant_position/credible/roussos_2024/variant_figures/roussos_2024.childhood.Astrocyte/rs17332014_count_position.png",4,220,900)</f>
        <v/>
      </c>
      <c r="T3924">
        <f>IMAGE("https://mitra.stanford.edu/kundaje/oak/projects/neuro-variants/variant_position/credible/roussos_2024/variant_figures/roussos_2024.childhood.Astrocyte/rs17332014_profile_position.png",4,220,900)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-0.106622344</v>
      </c>
      <c r="G3925" t="n">
        <v>0.06426001666337409</v>
      </c>
      <c r="H3925" t="n">
        <v>0.0135926305043912</v>
      </c>
      <c r="I3925" t="n">
        <v>0.3876284313529425</v>
      </c>
      <c r="J3925" t="n">
        <v>0.2020219367543678</v>
      </c>
      <c r="K3925" t="n">
        <v>0.2077400389401174</v>
      </c>
      <c r="L3925" t="b">
        <v>0</v>
      </c>
      <c r="M3925" t="b">
        <v>0</v>
      </c>
      <c r="N3925" t="inlineStr">
        <is>
          <t>ref</t>
        </is>
      </c>
      <c r="O3925" t="n">
        <v>55</v>
      </c>
      <c r="P3925" t="n">
        <v>0.005806</v>
      </c>
      <c r="Q3925" t="n">
        <v>85</v>
      </c>
      <c r="R3925" t="n">
        <v>0.1089</v>
      </c>
      <c r="S3925">
        <f>IMAGE("https://mitra.stanford.edu/kundaje/oak/projects/neuro-variants/variant_position/credible/roussos_2024/variant_figures/roussos_2024.childhood.Astrocyte/rs6983076_count_position.png",4,220,900)</f>
        <v/>
      </c>
      <c r="T3925">
        <f>IMAGE("https://mitra.stanford.edu/kundaje/oak/projects/neuro-variants/variant_position/credible/roussos_2024/variant_figures/roussos_2024.childhood.Astrocyte/rs6983076_profile_position.png",4,220,900)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-0.0708163096</v>
      </c>
      <c r="G3926" t="n">
        <v>0.1367499933691206</v>
      </c>
      <c r="H3926" t="n">
        <v>0.0123790303035692</v>
      </c>
      <c r="I3926" t="n">
        <v>0.4805428397903009</v>
      </c>
      <c r="J3926" t="n">
        <v>0.1691755779960767</v>
      </c>
      <c r="K3926" t="n">
        <v>0.2307419031126262</v>
      </c>
      <c r="L3926" t="b">
        <v>0</v>
      </c>
      <c r="M3926" t="b">
        <v>0</v>
      </c>
      <c r="N3926" t="inlineStr">
        <is>
          <t>ref</t>
        </is>
      </c>
      <c r="O3926" t="n">
        <v>100</v>
      </c>
      <c r="P3926" t="n">
        <v>0.02414</v>
      </c>
      <c r="Q3926" t="n">
        <v>25</v>
      </c>
      <c r="R3926" t="n">
        <v>0.11304</v>
      </c>
      <c r="S3926">
        <f>IMAGE("https://mitra.stanford.edu/kundaje/oak/projects/neuro-variants/variant_position/credible/roussos_2024/variant_figures/roussos_2024.childhood.Astrocyte/rs7835908_count_position.png",4,220,900)</f>
        <v/>
      </c>
      <c r="T3926">
        <f>IMAGE("https://mitra.stanford.edu/kundaje/oak/projects/neuro-variants/variant_position/credible/roussos_2024/variant_figures/roussos_2024.childhood.Astrocyte/rs7835908_profile_position.png",4,220,900)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0.0129288464</v>
      </c>
      <c r="G3927" t="n">
        <v>0.5664308932197269</v>
      </c>
      <c r="H3927" t="n">
        <v>0.009655536296870101</v>
      </c>
      <c r="I3927" t="n">
        <v>0.7074319786589932</v>
      </c>
      <c r="J3927" t="n">
        <v>0.0277506812301068</v>
      </c>
      <c r="K3927" t="n">
        <v>0.5788523693086237</v>
      </c>
      <c r="L3927" t="b">
        <v>0</v>
      </c>
      <c r="M3927" t="b">
        <v>0</v>
      </c>
      <c r="N3927" t="inlineStr">
        <is>
          <t>alt</t>
        </is>
      </c>
      <c r="O3927" t="n">
        <v>95</v>
      </c>
      <c r="P3927" t="n">
        <v>0.02621</v>
      </c>
      <c r="Q3927" t="n">
        <v>-90</v>
      </c>
      <c r="R3927" t="n">
        <v>0.08069999999999999</v>
      </c>
      <c r="S3927">
        <f>IMAGE("https://mitra.stanford.edu/kundaje/oak/projects/neuro-variants/variant_position/credible/roussos_2024/variant_figures/roussos_2024.childhood.Astrocyte/rs12680715_count_position.png",4,220,900)</f>
        <v/>
      </c>
      <c r="T3927">
        <f>IMAGE("https://mitra.stanford.edu/kundaje/oak/projects/neuro-variants/variant_position/credible/roussos_2024/variant_figures/roussos_2024.childhood.Astrocyte/rs12680715_profile_position.png",4,220,900)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0.1917266309999999</v>
      </c>
      <c r="G3928" t="n">
        <v>0.0205309299240302</v>
      </c>
      <c r="H3928" t="n">
        <v>0.0260442744922269</v>
      </c>
      <c r="I3928" t="n">
        <v>0.0534715662808582</v>
      </c>
      <c r="J3928" t="n">
        <v>0.1102150168303908</v>
      </c>
      <c r="K3928" t="n">
        <v>0.3076129140018908</v>
      </c>
      <c r="L3928" t="b">
        <v>0</v>
      </c>
      <c r="M3928" t="b">
        <v>0</v>
      </c>
      <c r="N3928" t="inlineStr">
        <is>
          <t>alt</t>
        </is>
      </c>
      <c r="O3928" t="n">
        <v>-80</v>
      </c>
      <c r="P3928" t="n">
        <v>0.01112</v>
      </c>
      <c r="Q3928" t="n">
        <v>25</v>
      </c>
      <c r="R3928" t="n">
        <v>0.05713</v>
      </c>
      <c r="S3928">
        <f>IMAGE("https://mitra.stanford.edu/kundaje/oak/projects/neuro-variants/variant_position/credible/roussos_2024/variant_figures/roussos_2024.childhood.Astrocyte/rs907211_count_position.png",4,220,900)</f>
        <v/>
      </c>
      <c r="T3928">
        <f>IMAGE("https://mitra.stanford.edu/kundaje/oak/projects/neuro-variants/variant_position/credible/roussos_2024/variant_figures/roussos_2024.childhood.Astrocyte/rs907211_profile_position.png",4,220,900)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0.0395885226999999</v>
      </c>
      <c r="G3929" t="n">
        <v>0.1378488802399022</v>
      </c>
      <c r="H3929" t="n">
        <v>0.0176598654515663</v>
      </c>
      <c r="I3929" t="n">
        <v>0.1933637358832816</v>
      </c>
      <c r="J3929" t="n">
        <v>0.1063810461557249</v>
      </c>
      <c r="K3929" t="n">
        <v>0.3416327663014052</v>
      </c>
      <c r="L3929" t="b">
        <v>0</v>
      </c>
      <c r="M3929" t="b">
        <v>0</v>
      </c>
      <c r="N3929" t="inlineStr">
        <is>
          <t>alt</t>
        </is>
      </c>
      <c r="O3929" t="n">
        <v>20</v>
      </c>
      <c r="P3929" t="n">
        <v>0.002838</v>
      </c>
      <c r="Q3929" t="n">
        <v>-100</v>
      </c>
      <c r="R3929" t="n">
        <v>0.01221</v>
      </c>
      <c r="S3929">
        <f>IMAGE("https://mitra.stanford.edu/kundaje/oak/projects/neuro-variants/variant_position/credible/roussos_2024/variant_figures/roussos_2024.childhood.Astrocyte/rs1473594_count_position.png",4,220,900)</f>
        <v/>
      </c>
      <c r="T3929">
        <f>IMAGE("https://mitra.stanford.edu/kundaje/oak/projects/neuro-variants/variant_position/credible/roussos_2024/variant_figures/roussos_2024.childhood.Astrocyte/rs1473594_profile_position.png",4,220,900)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0.0556815752</v>
      </c>
      <c r="G3930" t="n">
        <v>0.1888774592396682</v>
      </c>
      <c r="H3930" t="n">
        <v>0.0179336726699496</v>
      </c>
      <c r="I3930" t="n">
        <v>0.1776922171172738</v>
      </c>
      <c r="J3930" t="n">
        <v>0.0565699587063878</v>
      </c>
      <c r="K3930" t="n">
        <v>0.4231401264299309</v>
      </c>
      <c r="L3930" t="b">
        <v>0</v>
      </c>
      <c r="M3930" t="b">
        <v>0</v>
      </c>
      <c r="N3930" t="inlineStr">
        <is>
          <t>alt</t>
        </is>
      </c>
      <c r="O3930" t="n">
        <v>100</v>
      </c>
      <c r="P3930" t="n">
        <v>0.0494</v>
      </c>
      <c r="Q3930" t="n">
        <v>95</v>
      </c>
      <c r="R3930" t="n">
        <v>0.08500000000000001</v>
      </c>
      <c r="S3930">
        <f>IMAGE("https://mitra.stanford.edu/kundaje/oak/projects/neuro-variants/variant_position/credible/roussos_2024/variant_figures/roussos_2024.childhood.Astrocyte/rs1034516_count_position.png",4,220,900)</f>
        <v/>
      </c>
      <c r="T3930">
        <f>IMAGE("https://mitra.stanford.edu/kundaje/oak/projects/neuro-variants/variant_position/credible/roussos_2024/variant_figures/roussos_2024.childhood.Astrocyte/rs1034516_profile_position.png",4,220,900)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-0.0323529592</v>
      </c>
      <c r="G3931" t="n">
        <v>0.35890308243688</v>
      </c>
      <c r="H3931" t="n">
        <v>0.0129963125495097</v>
      </c>
      <c r="I3931" t="n">
        <v>0.4340060865574608</v>
      </c>
      <c r="J3931" t="n">
        <v>0.0048613496370588</v>
      </c>
      <c r="K3931" t="n">
        <v>0.7830447288734176</v>
      </c>
      <c r="L3931" t="b">
        <v>0</v>
      </c>
      <c r="M3931" t="b">
        <v>0</v>
      </c>
      <c r="N3931" t="inlineStr">
        <is>
          <t>ref</t>
        </is>
      </c>
      <c r="O3931" t="n">
        <v>-95</v>
      </c>
      <c r="P3931" t="n">
        <v>0.04105</v>
      </c>
      <c r="Q3931" t="n">
        <v>-70</v>
      </c>
      <c r="R3931" t="n">
        <v>0.11914</v>
      </c>
      <c r="S3931">
        <f>IMAGE("https://mitra.stanford.edu/kundaje/oak/projects/neuro-variants/variant_position/credible/roussos_2024/variant_figures/roussos_2024.childhood.Astrocyte/rs1034517_count_position.png",4,220,900)</f>
        <v/>
      </c>
      <c r="T3931">
        <f>IMAGE("https://mitra.stanford.edu/kundaje/oak/projects/neuro-variants/variant_position/credible/roussos_2024/variant_figures/roussos_2024.childhood.Astrocyte/rs1034517_profile_position.png",4,220,900)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0.0439579818</v>
      </c>
      <c r="G3932" t="n">
        <v>0.2464074345831056</v>
      </c>
      <c r="H3932" t="n">
        <v>0.0121035034023624</v>
      </c>
      <c r="I3932" t="n">
        <v>0.511810087885133</v>
      </c>
      <c r="J3932" t="n">
        <v>0.0012174364376053</v>
      </c>
      <c r="K3932" t="n">
        <v>0.8931385681764702</v>
      </c>
      <c r="L3932" t="b">
        <v>0</v>
      </c>
      <c r="M3932" t="b">
        <v>0</v>
      </c>
      <c r="N3932" t="inlineStr">
        <is>
          <t>alt</t>
        </is>
      </c>
      <c r="O3932" t="n">
        <v>15</v>
      </c>
      <c r="P3932" t="n">
        <v>0.004105</v>
      </c>
      <c r="Q3932" t="n">
        <v>90</v>
      </c>
      <c r="R3932" t="n">
        <v>0.03775</v>
      </c>
      <c r="S3932">
        <f>IMAGE("https://mitra.stanford.edu/kundaje/oak/projects/neuro-variants/variant_position/credible/roussos_2024/variant_figures/roussos_2024.childhood.Astrocyte/rs10504300_count_position.png",4,220,900)</f>
        <v/>
      </c>
      <c r="T3932">
        <f>IMAGE("https://mitra.stanford.edu/kundaje/oak/projects/neuro-variants/variant_position/credible/roussos_2024/variant_figures/roussos_2024.childhood.Astrocyte/rs10504300_profile_position.png",4,220,900)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-0.0414857126</v>
      </c>
      <c r="G3933" t="n">
        <v>0.2775709523802452</v>
      </c>
      <c r="H3933" t="n">
        <v>0.0105418316193303</v>
      </c>
      <c r="I3933" t="n">
        <v>0.6485134995806888</v>
      </c>
      <c r="J3933" t="n">
        <v>0.0363147168601588</v>
      </c>
      <c r="K3933" t="n">
        <v>0.5287593003736171</v>
      </c>
      <c r="L3933" t="b">
        <v>0</v>
      </c>
      <c r="M3933" t="b">
        <v>0</v>
      </c>
      <c r="N3933" t="inlineStr">
        <is>
          <t>ref</t>
        </is>
      </c>
      <c r="O3933" t="n">
        <v>100</v>
      </c>
      <c r="P3933" t="n">
        <v>0.00341</v>
      </c>
      <c r="Q3933" t="n">
        <v>45</v>
      </c>
      <c r="R3933" t="n">
        <v>0.10114</v>
      </c>
      <c r="S3933">
        <f>IMAGE("https://mitra.stanford.edu/kundaje/oak/projects/neuro-variants/variant_position/credible/roussos_2024/variant_figures/roussos_2024.childhood.Astrocyte/rs7017555_count_position.png",4,220,900)</f>
        <v/>
      </c>
      <c r="T3933">
        <f>IMAGE("https://mitra.stanford.edu/kundaje/oak/projects/neuro-variants/variant_position/credible/roussos_2024/variant_figures/roussos_2024.childhood.Astrocyte/rs7017555_profile_position.png",4,220,900)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-0.0210838986</v>
      </c>
      <c r="G3934" t="n">
        <v>0.4169121796239775</v>
      </c>
      <c r="H3934" t="n">
        <v>0.0107885217718446</v>
      </c>
      <c r="I3934" t="n">
        <v>0.6044258921922981</v>
      </c>
      <c r="J3934" t="n">
        <v>0.0039576225260088</v>
      </c>
      <c r="K3934" t="n">
        <v>0.8016524008537215</v>
      </c>
      <c r="L3934" t="b">
        <v>0</v>
      </c>
      <c r="M3934" t="b">
        <v>0</v>
      </c>
      <c r="N3934" t="inlineStr">
        <is>
          <t>ref</t>
        </is>
      </c>
      <c r="O3934" t="n">
        <v>85</v>
      </c>
      <c r="P3934" t="n">
        <v>0.00468</v>
      </c>
      <c r="Q3934" t="n">
        <v>-5</v>
      </c>
      <c r="R3934" t="n">
        <v>0.00838</v>
      </c>
      <c r="S3934">
        <f>IMAGE("https://mitra.stanford.edu/kundaje/oak/projects/neuro-variants/variant_position/credible/roussos_2024/variant_figures/roussos_2024.childhood.Astrocyte/rs782022_count_position.png",4,220,900)</f>
        <v/>
      </c>
      <c r="T3934">
        <f>IMAGE("https://mitra.stanford.edu/kundaje/oak/projects/neuro-variants/variant_position/credible/roussos_2024/variant_figures/roussos_2024.childhood.Astrocyte/rs782022_profile_position.png",4,220,900)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0.0105616184</v>
      </c>
      <c r="G3935" t="n">
        <v>0.6839620258691312</v>
      </c>
      <c r="H3935" t="n">
        <v>0.0071269105433342</v>
      </c>
      <c r="I3935" t="n">
        <v>0.935360720838617</v>
      </c>
      <c r="J3935" t="n">
        <v>0.0101509010556203</v>
      </c>
      <c r="K3935" t="n">
        <v>0.6967967150203527</v>
      </c>
      <c r="L3935" t="b">
        <v>0</v>
      </c>
      <c r="M3935" t="b">
        <v>0</v>
      </c>
      <c r="N3935" t="inlineStr">
        <is>
          <t>alt</t>
        </is>
      </c>
      <c r="O3935" t="n">
        <v>50</v>
      </c>
      <c r="P3935" t="n">
        <v>0.00658</v>
      </c>
      <c r="Q3935" t="n">
        <v>-95</v>
      </c>
      <c r="R3935" t="n">
        <v>0.05444</v>
      </c>
      <c r="S3935">
        <f>IMAGE("https://mitra.stanford.edu/kundaje/oak/projects/neuro-variants/variant_position/credible/roussos_2024/variant_figures/roussos_2024.childhood.Astrocyte/rs522182_count_position.png",4,220,900)</f>
        <v/>
      </c>
      <c r="T3935">
        <f>IMAGE("https://mitra.stanford.edu/kundaje/oak/projects/neuro-variants/variant_position/credible/roussos_2024/variant_figures/roussos_2024.childhood.Astrocyte/rs522182_profile_position.png",4,220,900)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0.095051018</v>
      </c>
      <c r="G3936" t="n">
        <v>0.0756442912039378</v>
      </c>
      <c r="H3936" t="n">
        <v>0.0218336977021722</v>
      </c>
      <c r="I3936" t="n">
        <v>0.0964190365551572</v>
      </c>
      <c r="J3936" t="n">
        <v>0.8425072321067375</v>
      </c>
      <c r="K3936" t="n">
        <v>0.0050570177241052</v>
      </c>
      <c r="L3936" t="b">
        <v>0</v>
      </c>
      <c r="M3936" t="b">
        <v>0</v>
      </c>
      <c r="N3936" t="inlineStr">
        <is>
          <t>alt</t>
        </is>
      </c>
      <c r="O3936" t="n">
        <v>-10</v>
      </c>
      <c r="P3936" t="n">
        <v>0.0004883</v>
      </c>
      <c r="Q3936" t="n">
        <v>-80</v>
      </c>
      <c r="R3936" t="n">
        <v>0.05847</v>
      </c>
      <c r="S3936">
        <f>IMAGE("https://mitra.stanford.edu/kundaje/oak/projects/neuro-variants/variant_position/credible/roussos_2024/variant_figures/roussos_2024.childhood.Astrocyte/rs298210_count_position.png",4,220,900)</f>
        <v/>
      </c>
      <c r="T3936">
        <f>IMAGE("https://mitra.stanford.edu/kundaje/oak/projects/neuro-variants/variant_position/credible/roussos_2024/variant_figures/roussos_2024.childhood.Astrocyte/rs298210_profile_position.png",4,220,900)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-0.0355609568</v>
      </c>
      <c r="G3937" t="n">
        <v>0.2912790105658062</v>
      </c>
      <c r="H3937" t="n">
        <v>0.0242143009095824</v>
      </c>
      <c r="I3937" t="n">
        <v>0.0656216237840498</v>
      </c>
      <c r="J3937" t="n">
        <v>0.0399448909650186</v>
      </c>
      <c r="K3937" t="n">
        <v>0.4899641019726282</v>
      </c>
      <c r="L3937" t="b">
        <v>0</v>
      </c>
      <c r="M3937" t="b">
        <v>0</v>
      </c>
      <c r="N3937" t="inlineStr">
        <is>
          <t>ref</t>
        </is>
      </c>
      <c r="O3937" t="n">
        <v>85</v>
      </c>
      <c r="P3937" t="n">
        <v>0.00937</v>
      </c>
      <c r="Q3937" t="n">
        <v>-80</v>
      </c>
      <c r="R3937" t="n">
        <v>0.11194</v>
      </c>
      <c r="S3937">
        <f>IMAGE("https://mitra.stanford.edu/kundaje/oak/projects/neuro-variants/variant_position/credible/roussos_2024/variant_figures/roussos_2024.childhood.Astrocyte/rs298199_count_position.png",4,220,900)</f>
        <v/>
      </c>
      <c r="T3937">
        <f>IMAGE("https://mitra.stanford.edu/kundaje/oak/projects/neuro-variants/variant_position/credible/roussos_2024/variant_figures/roussos_2024.childhood.Astrocyte/rs298199_profile_position.png",4,220,900)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0.01207320072</v>
      </c>
      <c r="G3938" t="n">
        <v>0.6600483759320238</v>
      </c>
      <c r="H3938" t="n">
        <v>0.0152681525088474</v>
      </c>
      <c r="I3938" t="n">
        <v>0.286493306967954</v>
      </c>
      <c r="J3938" t="n">
        <v>0.06737575660430641</v>
      </c>
      <c r="K3938" t="n">
        <v>0.4038563468898641</v>
      </c>
      <c r="L3938" t="b">
        <v>0</v>
      </c>
      <c r="M3938" t="b">
        <v>0</v>
      </c>
      <c r="N3938" t="inlineStr">
        <is>
          <t>alt</t>
        </is>
      </c>
      <c r="O3938" t="n">
        <v>-100</v>
      </c>
      <c r="P3938" t="n">
        <v>0.009039999999999999</v>
      </c>
      <c r="Q3938" t="n">
        <v>-100</v>
      </c>
      <c r="R3938" t="n">
        <v>0.1252</v>
      </c>
      <c r="S3938">
        <f>IMAGE("https://mitra.stanford.edu/kundaje/oak/projects/neuro-variants/variant_position/credible/roussos_2024/variant_figures/roussos_2024.childhood.Astrocyte/rs298200_count_position.png",4,220,900)</f>
        <v/>
      </c>
      <c r="T3938">
        <f>IMAGE("https://mitra.stanford.edu/kundaje/oak/projects/neuro-variants/variant_position/credible/roussos_2024/variant_figures/roussos_2024.childhood.Astrocyte/rs298200_profile_position.png",4,220,900)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0.031928337734</v>
      </c>
      <c r="G3939" t="n">
        <v>0.3976734878810368</v>
      </c>
      <c r="H3939" t="n">
        <v>0.0299821660125844</v>
      </c>
      <c r="I3939" t="n">
        <v>0.0428427336884812</v>
      </c>
      <c r="J3939" t="n">
        <v>0.0034675948188347</v>
      </c>
      <c r="K3939" t="n">
        <v>0.813137712724692</v>
      </c>
      <c r="L3939" t="b">
        <v>0</v>
      </c>
      <c r="M3939" t="b">
        <v>0</v>
      </c>
      <c r="N3939" t="inlineStr">
        <is>
          <t>alt</t>
        </is>
      </c>
      <c r="O3939" t="n">
        <v>70</v>
      </c>
      <c r="P3939" t="n">
        <v>0.015305</v>
      </c>
      <c r="Q3939" t="n">
        <v>50</v>
      </c>
      <c r="R3939" t="n">
        <v>0.07117</v>
      </c>
      <c r="S3939">
        <f>IMAGE("https://mitra.stanford.edu/kundaje/oak/projects/neuro-variants/variant_position/credible/roussos_2024/variant_figures/roussos_2024.childhood.Astrocyte/rs298179_count_position.png",4,220,900)</f>
        <v/>
      </c>
      <c r="T3939">
        <f>IMAGE("https://mitra.stanford.edu/kundaje/oak/projects/neuro-variants/variant_position/credible/roussos_2024/variant_figures/roussos_2024.childhood.Astrocyte/rs298179_profile_position.png",4,220,900)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-0.1746577859999999</v>
      </c>
      <c r="G3940" t="n">
        <v>0.0228892729201789</v>
      </c>
      <c r="H3940" t="n">
        <v>0.0253377701439586</v>
      </c>
      <c r="I3940" t="n">
        <v>0.0554689970862389</v>
      </c>
      <c r="J3940" t="n">
        <v>0.1457206536755894</v>
      </c>
      <c r="K3940" t="n">
        <v>0.2589988183754424</v>
      </c>
      <c r="L3940" t="b">
        <v>0</v>
      </c>
      <c r="M3940" t="b">
        <v>0</v>
      </c>
      <c r="N3940" t="inlineStr">
        <is>
          <t>ref</t>
        </is>
      </c>
      <c r="O3940" t="n">
        <v>-50</v>
      </c>
      <c r="P3940" t="n">
        <v>0.00537</v>
      </c>
      <c r="Q3940" t="n">
        <v>5</v>
      </c>
      <c r="R3940" t="n">
        <v>0.00586</v>
      </c>
      <c r="S3940">
        <f>IMAGE("https://mitra.stanford.edu/kundaje/oak/projects/neuro-variants/variant_position/credible/roussos_2024/variant_figures/roussos_2024.childhood.Astrocyte/rs2577907_count_position.png",4,220,900)</f>
        <v/>
      </c>
      <c r="T3940">
        <f>IMAGE("https://mitra.stanford.edu/kundaje/oak/projects/neuro-variants/variant_position/credible/roussos_2024/variant_figures/roussos_2024.childhood.Astrocyte/rs2577907_profile_position.png",4,220,900)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0.1227385748</v>
      </c>
      <c r="G3941" t="n">
        <v>0.0601682300963265</v>
      </c>
      <c r="H3941" t="n">
        <v>0.0395063262559264</v>
      </c>
      <c r="I3941" t="n">
        <v>0.0147036089243459</v>
      </c>
      <c r="J3941" t="n">
        <v>0.0217192187034873</v>
      </c>
      <c r="K3941" t="n">
        <v>0.5819310458909976</v>
      </c>
      <c r="L3941" t="b">
        <v>1</v>
      </c>
      <c r="M3941" t="b">
        <v>0</v>
      </c>
      <c r="N3941" t="inlineStr">
        <is>
          <t>alt</t>
        </is>
      </c>
      <c r="O3941" t="n">
        <v>100</v>
      </c>
      <c r="P3941" t="n">
        <v>0.002556</v>
      </c>
      <c r="Q3941" t="n">
        <v>-100</v>
      </c>
      <c r="R3941" t="n">
        <v>0.007996</v>
      </c>
      <c r="S3941">
        <f>IMAGE("https://mitra.stanford.edu/kundaje/oak/projects/neuro-variants/variant_position/credible/roussos_2024/variant_figures/roussos_2024.childhood.Astrocyte/rs59666344_count_position.png",4,220,900)</f>
        <v/>
      </c>
      <c r="T3941">
        <f>IMAGE("https://mitra.stanford.edu/kundaje/oak/projects/neuro-variants/variant_position/credible/roussos_2024/variant_figures/roussos_2024.childhood.Astrocyte/rs59666344_profile_position.png",4,220,900)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-0.0930593052</v>
      </c>
      <c r="G3942" t="n">
        <v>0.08573276980137121</v>
      </c>
      <c r="H3942" t="n">
        <v>0.0142000463978414</v>
      </c>
      <c r="I3942" t="n">
        <v>0.3484011162421462</v>
      </c>
      <c r="J3942" t="n">
        <v>0.0393571630296229</v>
      </c>
      <c r="K3942" t="n">
        <v>0.5005555332729814</v>
      </c>
      <c r="L3942" t="b">
        <v>0</v>
      </c>
      <c r="M3942" t="b">
        <v>0</v>
      </c>
      <c r="N3942" t="inlineStr">
        <is>
          <t>ref</t>
        </is>
      </c>
      <c r="O3942" t="n">
        <v>50</v>
      </c>
      <c r="P3942" t="n">
        <v>0.01393</v>
      </c>
      <c r="Q3942" t="n">
        <v>25</v>
      </c>
      <c r="R3942" t="n">
        <v>0.1401</v>
      </c>
      <c r="S3942">
        <f>IMAGE("https://mitra.stanford.edu/kundaje/oak/projects/neuro-variants/variant_position/credible/roussos_2024/variant_figures/roussos_2024.childhood.Astrocyte/rs2612609_count_position.png",4,220,900)</f>
        <v/>
      </c>
      <c r="T3942">
        <f>IMAGE("https://mitra.stanford.edu/kundaje/oak/projects/neuro-variants/variant_position/credible/roussos_2024/variant_figures/roussos_2024.childhood.Astrocyte/rs2612609_profile_position.png",4,220,900)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-0.0004541788399999</v>
      </c>
      <c r="G3943" t="n">
        <v>0.8712928872804173</v>
      </c>
      <c r="H3943" t="n">
        <v>0.0353053711526756</v>
      </c>
      <c r="I3943" t="n">
        <v>0.0157182157147017</v>
      </c>
      <c r="J3943" t="n">
        <v>0.2197110210437132</v>
      </c>
      <c r="K3943" t="n">
        <v>0.1833098033603738</v>
      </c>
      <c r="L3943" t="b">
        <v>1</v>
      </c>
      <c r="M3943" t="b">
        <v>0</v>
      </c>
      <c r="N3943" t="inlineStr">
        <is>
          <t>ref</t>
        </is>
      </c>
      <c r="O3943" t="n">
        <v>100</v>
      </c>
      <c r="P3943" t="n">
        <v>0.198</v>
      </c>
      <c r="Q3943" t="n">
        <v>100</v>
      </c>
      <c r="R3943" t="n">
        <v>0.4678</v>
      </c>
      <c r="S3943">
        <f>IMAGE("https://mitra.stanford.edu/kundaje/oak/projects/neuro-variants/variant_position/credible/roussos_2024/variant_figures/roussos_2024.childhood.Astrocyte/rs2600467_count_position.png",4,220,900)</f>
        <v/>
      </c>
      <c r="T3943">
        <f>IMAGE("https://mitra.stanford.edu/kundaje/oak/projects/neuro-variants/variant_position/credible/roussos_2024/variant_figures/roussos_2024.childhood.Astrocyte/rs2600467_profile_position.png",4,220,900)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0.0069618740999999</v>
      </c>
      <c r="G3944" t="n">
        <v>0.4179019501811057</v>
      </c>
      <c r="H3944" t="n">
        <v>0.008234169859491901</v>
      </c>
      <c r="I3944" t="n">
        <v>0.8836301780341521</v>
      </c>
      <c r="J3944" t="n">
        <v>0.028277346522864</v>
      </c>
      <c r="K3944" t="n">
        <v>0.5368179079423954</v>
      </c>
      <c r="L3944" t="b">
        <v>0</v>
      </c>
      <c r="M3944" t="b">
        <v>0</v>
      </c>
      <c r="N3944" t="inlineStr">
        <is>
          <t>alt</t>
        </is>
      </c>
      <c r="O3944" t="n">
        <v>100</v>
      </c>
      <c r="P3944" t="n">
        <v>0.01078</v>
      </c>
      <c r="Q3944" t="n">
        <v>75</v>
      </c>
      <c r="R3944" t="n">
        <v>0.02269</v>
      </c>
      <c r="S3944">
        <f>IMAGE("https://mitra.stanford.edu/kundaje/oak/projects/neuro-variants/variant_position/credible/roussos_2024/variant_figures/roussos_2024.childhood.Astrocyte/rs2577893_count_position.png",4,220,900)</f>
        <v/>
      </c>
      <c r="T3944">
        <f>IMAGE("https://mitra.stanford.edu/kundaje/oak/projects/neuro-variants/variant_position/credible/roussos_2024/variant_figures/roussos_2024.childhood.Astrocyte/rs2577893_profile_position.png",4,220,900)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0.1030170505999999</v>
      </c>
      <c r="G3945" t="n">
        <v>0.0686043244290728</v>
      </c>
      <c r="H3945" t="n">
        <v>0.0224741782781556</v>
      </c>
      <c r="I3945" t="n">
        <v>0.0939870301047022</v>
      </c>
      <c r="J3945" t="n">
        <v>0.0310495904986527</v>
      </c>
      <c r="K3945" t="n">
        <v>0.5244871470791058</v>
      </c>
      <c r="L3945" t="b">
        <v>0</v>
      </c>
      <c r="M3945" t="b">
        <v>0</v>
      </c>
      <c r="N3945" t="inlineStr">
        <is>
          <t>alt</t>
        </is>
      </c>
      <c r="O3945" t="n">
        <v>-70</v>
      </c>
      <c r="P3945" t="n">
        <v>0.01049</v>
      </c>
      <c r="Q3945" t="n">
        <v>100</v>
      </c>
      <c r="R3945" t="n">
        <v>0.2837</v>
      </c>
      <c r="S3945">
        <f>IMAGE("https://mitra.stanford.edu/kundaje/oak/projects/neuro-variants/variant_position/credible/roussos_2024/variant_figures/roussos_2024.childhood.Astrocyte/rs2612589_count_position.png",4,220,900)</f>
        <v/>
      </c>
      <c r="T3945">
        <f>IMAGE("https://mitra.stanford.edu/kundaje/oak/projects/neuro-variants/variant_position/credible/roussos_2024/variant_figures/roussos_2024.childhood.Astrocyte/rs2612589_profile_position.png",4,220,900)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-0.0126865275599999</v>
      </c>
      <c r="G3946" t="n">
        <v>0.6743927633965467</v>
      </c>
      <c r="H3946" t="n">
        <v>0.0260778350557747</v>
      </c>
      <c r="I3946" t="n">
        <v>0.0521633311615184</v>
      </c>
      <c r="J3946" t="n">
        <v>0.0016967781823177</v>
      </c>
      <c r="K3946" t="n">
        <v>0.8673521065417907</v>
      </c>
      <c r="L3946" t="b">
        <v>0</v>
      </c>
      <c r="M3946" t="b">
        <v>0</v>
      </c>
      <c r="N3946" t="inlineStr">
        <is>
          <t>ref</t>
        </is>
      </c>
      <c r="O3946" t="n">
        <v>-100</v>
      </c>
      <c r="P3946" t="n">
        <v>0.04385</v>
      </c>
      <c r="Q3946" t="n">
        <v>-100</v>
      </c>
      <c r="R3946" t="n">
        <v>0.127</v>
      </c>
      <c r="S3946">
        <f>IMAGE("https://mitra.stanford.edu/kundaje/oak/projects/neuro-variants/variant_position/credible/roussos_2024/variant_figures/roussos_2024.childhood.Astrocyte/rs10504376_count_position.png",4,220,900)</f>
        <v/>
      </c>
      <c r="T3946">
        <f>IMAGE("https://mitra.stanford.edu/kundaje/oak/projects/neuro-variants/variant_position/credible/roussos_2024/variant_figures/roussos_2024.childhood.Astrocyte/rs10504376_profile_position.png",4,220,900)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-0.1788837299999999</v>
      </c>
      <c r="G3947" t="n">
        <v>0.021443488282372</v>
      </c>
      <c r="H3947" t="n">
        <v>0.0415581999396809</v>
      </c>
      <c r="I3947" t="n">
        <v>0.0085328563298675</v>
      </c>
      <c r="J3947" t="n">
        <v>0.1349415706838252</v>
      </c>
      <c r="K3947" t="n">
        <v>0.2747159624829566</v>
      </c>
      <c r="L3947" t="b">
        <v>1</v>
      </c>
      <c r="M3947" t="b">
        <v>1</v>
      </c>
      <c r="N3947" t="inlineStr">
        <is>
          <t>ref</t>
        </is>
      </c>
      <c r="O3947" t="n">
        <v>-50</v>
      </c>
      <c r="P3947" t="n">
        <v>0.00534</v>
      </c>
      <c r="Q3947" t="n">
        <v>45</v>
      </c>
      <c r="R3947" t="n">
        <v>0.1807</v>
      </c>
      <c r="S3947">
        <f>IMAGE("https://mitra.stanford.edu/kundaje/oak/projects/neuro-variants/variant_position/credible/roussos_2024/variant_figures/roussos_2024.childhood.Astrocyte/rs16931253_count_position.png",4,220,900)</f>
        <v/>
      </c>
      <c r="T3947">
        <f>IMAGE("https://mitra.stanford.edu/kundaje/oak/projects/neuro-variants/variant_position/credible/roussos_2024/variant_figures/roussos_2024.childhood.Astrocyte/rs16931253_profile_position.png",4,220,900)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0.08896041</v>
      </c>
      <c r="G3948" t="n">
        <v>0.0452679548161996</v>
      </c>
      <c r="H3948" t="n">
        <v>0.0186671223336525</v>
      </c>
      <c r="I3948" t="n">
        <v>0.1730602341996045</v>
      </c>
      <c r="J3948" t="n">
        <v>0.011398105531512</v>
      </c>
      <c r="K3948" t="n">
        <v>0.688968589984882</v>
      </c>
      <c r="L3948" t="b">
        <v>0</v>
      </c>
      <c r="M3948" t="b">
        <v>0</v>
      </c>
      <c r="N3948" t="inlineStr">
        <is>
          <t>alt</t>
        </is>
      </c>
      <c r="O3948" t="n">
        <v>-90</v>
      </c>
      <c r="P3948" t="n">
        <v>0.003267</v>
      </c>
      <c r="Q3948" t="n">
        <v>-75</v>
      </c>
      <c r="R3948" t="n">
        <v>0.1354</v>
      </c>
      <c r="S3948">
        <f>IMAGE("https://mitra.stanford.edu/kundaje/oak/projects/neuro-variants/variant_position/credible/roussos_2024/variant_figures/roussos_2024.childhood.Astrocyte/rs9643569_count_position.png",4,220,900)</f>
        <v/>
      </c>
      <c r="T3948">
        <f>IMAGE("https://mitra.stanford.edu/kundaje/oak/projects/neuro-variants/variant_position/credible/roussos_2024/variant_figures/roussos_2024.childhood.Astrocyte/rs9643569_profile_position.png",4,220,900)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0.01303570804</v>
      </c>
      <c r="G3949" t="n">
        <v>0.6261636014782176</v>
      </c>
      <c r="H3949" t="n">
        <v>0.0302832126127925</v>
      </c>
      <c r="I3949" t="n">
        <v>0.0287789354837162</v>
      </c>
      <c r="J3949" t="n">
        <v>0.3447161732041858</v>
      </c>
      <c r="K3949" t="n">
        <v>0.1097550918300208</v>
      </c>
      <c r="L3949" t="b">
        <v>0</v>
      </c>
      <c r="M3949" t="b">
        <v>0</v>
      </c>
      <c r="N3949" t="inlineStr">
        <is>
          <t>alt</t>
        </is>
      </c>
      <c r="O3949" t="n">
        <v>55</v>
      </c>
      <c r="P3949" t="n">
        <v>0.01301</v>
      </c>
      <c r="Q3949" t="n">
        <v>-85</v>
      </c>
      <c r="R3949" t="n">
        <v>0.0795</v>
      </c>
      <c r="S3949">
        <f>IMAGE("https://mitra.stanford.edu/kundaje/oak/projects/neuro-variants/variant_position/credible/roussos_2024/variant_figures/roussos_2024.childhood.Astrocyte/rs4737675_count_position.png",4,220,900)</f>
        <v/>
      </c>
      <c r="T3949">
        <f>IMAGE("https://mitra.stanford.edu/kundaje/oak/projects/neuro-variants/variant_position/credible/roussos_2024/variant_figures/roussos_2024.childhood.Astrocyte/rs4737675_profile_position.png",4,220,900)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0.1091661709999999</v>
      </c>
      <c r="G3950" t="n">
        <v>0.0573783435732454</v>
      </c>
      <c r="H3950" t="n">
        <v>0.0196581643510439</v>
      </c>
      <c r="I3950" t="n">
        <v>0.1353757059860387</v>
      </c>
      <c r="J3950" t="n">
        <v>0.2535710196698037</v>
      </c>
      <c r="K3950" t="n">
        <v>0.1626169325425585</v>
      </c>
      <c r="L3950" t="b">
        <v>0</v>
      </c>
      <c r="M3950" t="b">
        <v>0</v>
      </c>
      <c r="N3950" t="inlineStr">
        <is>
          <t>alt</t>
        </is>
      </c>
      <c r="O3950" t="n">
        <v>10</v>
      </c>
      <c r="P3950" t="n">
        <v>6.104e-05</v>
      </c>
      <c r="Q3950" t="n">
        <v>-25</v>
      </c>
      <c r="R3950" t="n">
        <v>0.05054</v>
      </c>
      <c r="S3950">
        <f>IMAGE("https://mitra.stanford.edu/kundaje/oak/projects/neuro-variants/variant_position/credible/roussos_2024/variant_figures/roussos_2024.childhood.Astrocyte/rs3779870_count_position.png",4,220,900)</f>
        <v/>
      </c>
      <c r="T3950">
        <f>IMAGE("https://mitra.stanford.edu/kundaje/oak/projects/neuro-variants/variant_position/credible/roussos_2024/variant_figures/roussos_2024.childhood.Astrocyte/rs3779870_profile_position.png",4,220,900)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-0.0005229115</v>
      </c>
      <c r="G3951" t="n">
        <v>0.8423010330779721</v>
      </c>
      <c r="H3951" t="n">
        <v>0.0224878412382849</v>
      </c>
      <c r="I3951" t="n">
        <v>0.0842798043210844</v>
      </c>
      <c r="J3951" t="n">
        <v>0.0109157106546678</v>
      </c>
      <c r="K3951" t="n">
        <v>0.6797681578388818</v>
      </c>
      <c r="L3951" t="b">
        <v>0</v>
      </c>
      <c r="M3951" t="b">
        <v>0</v>
      </c>
      <c r="N3951" t="inlineStr">
        <is>
          <t>ref</t>
        </is>
      </c>
      <c r="O3951" t="n">
        <v>25</v>
      </c>
      <c r="P3951" t="n">
        <v>0.001068</v>
      </c>
      <c r="Q3951" t="n">
        <v>-80</v>
      </c>
      <c r="R3951" t="n">
        <v>0.1056</v>
      </c>
      <c r="S3951">
        <f>IMAGE("https://mitra.stanford.edu/kundaje/oak/projects/neuro-variants/variant_position/credible/roussos_2024/variant_figures/roussos_2024.childhood.Astrocyte/rs4452822_count_position.png",4,220,900)</f>
        <v/>
      </c>
      <c r="T3951">
        <f>IMAGE("https://mitra.stanford.edu/kundaje/oak/projects/neuro-variants/variant_position/credible/roussos_2024/variant_figures/roussos_2024.childhood.Astrocyte/rs4452822_profile_position.png",4,220,900)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-0.0344520296</v>
      </c>
      <c r="G3952" t="n">
        <v>0.3416092364443546</v>
      </c>
      <c r="H3952" t="n">
        <v>0.0142803662799686</v>
      </c>
      <c r="I3952" t="n">
        <v>0.3376578718382112</v>
      </c>
      <c r="J3952" t="n">
        <v>0.0013983345164219</v>
      </c>
      <c r="K3952" t="n">
        <v>0.9004031327279117</v>
      </c>
      <c r="L3952" t="b">
        <v>0</v>
      </c>
      <c r="M3952" t="b">
        <v>0</v>
      </c>
      <c r="N3952" t="inlineStr">
        <is>
          <t>ref</t>
        </is>
      </c>
      <c r="O3952" t="n">
        <v>-80</v>
      </c>
      <c r="P3952" t="n">
        <v>0.00442</v>
      </c>
      <c r="Q3952" t="n">
        <v>75</v>
      </c>
      <c r="R3952" t="n">
        <v>0.0832</v>
      </c>
      <c r="S3952">
        <f>IMAGE("https://mitra.stanford.edu/kundaje/oak/projects/neuro-variants/variant_position/credible/roussos_2024/variant_figures/roussos_2024.childhood.Astrocyte/rs11996031_count_position.png",4,220,900)</f>
        <v/>
      </c>
      <c r="T3952">
        <f>IMAGE("https://mitra.stanford.edu/kundaje/oak/projects/neuro-variants/variant_position/credible/roussos_2024/variant_figures/roussos_2024.childhood.Astrocyte/rs11996031_profile_position.png",4,220,900)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0.0170736225999999</v>
      </c>
      <c r="G3953" t="n">
        <v>0.5696040465120823</v>
      </c>
      <c r="H3953" t="n">
        <v>0.0177259494750565</v>
      </c>
      <c r="I3953" t="n">
        <v>0.1898916969244333</v>
      </c>
      <c r="J3953" t="n">
        <v>0.0210299741247051</v>
      </c>
      <c r="K3953" t="n">
        <v>0.6227337114164527</v>
      </c>
      <c r="L3953" t="b">
        <v>0</v>
      </c>
      <c r="M3953" t="b">
        <v>0</v>
      </c>
      <c r="N3953" t="inlineStr">
        <is>
          <t>alt</t>
        </is>
      </c>
      <c r="O3953" t="n">
        <v>90</v>
      </c>
      <c r="P3953" t="n">
        <v>0.008606000000000001</v>
      </c>
      <c r="Q3953" t="n">
        <v>-100</v>
      </c>
      <c r="R3953" t="n">
        <v>0.10675</v>
      </c>
      <c r="S3953">
        <f>IMAGE("https://mitra.stanford.edu/kundaje/oak/projects/neuro-variants/variant_position/credible/roussos_2024/variant_figures/roussos_2024.childhood.Astrocyte/rs4236934_count_position.png",4,220,900)</f>
        <v/>
      </c>
      <c r="T3953">
        <f>IMAGE("https://mitra.stanford.edu/kundaje/oak/projects/neuro-variants/variant_position/credible/roussos_2024/variant_figures/roussos_2024.childhood.Astrocyte/rs4236934_profile_position.png",4,220,900)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-0.034094688</v>
      </c>
      <c r="G3954" t="n">
        <v>0.09039123562212779</v>
      </c>
      <c r="H3954" t="n">
        <v>0.0273270391719841</v>
      </c>
      <c r="I3954" t="n">
        <v>0.042734609505956</v>
      </c>
      <c r="J3954" t="n">
        <v>0.4351774251410165</v>
      </c>
      <c r="K3954" t="n">
        <v>0.0731231903616332</v>
      </c>
      <c r="L3954" t="b">
        <v>0</v>
      </c>
      <c r="M3954" t="b">
        <v>0</v>
      </c>
      <c r="N3954" t="inlineStr">
        <is>
          <t>ref</t>
        </is>
      </c>
      <c r="O3954" t="n">
        <v>-100</v>
      </c>
      <c r="P3954" t="n">
        <v>0.0116</v>
      </c>
      <c r="Q3954" t="n">
        <v>-45</v>
      </c>
      <c r="R3954" t="n">
        <v>0.126</v>
      </c>
      <c r="S3954">
        <f>IMAGE("https://mitra.stanford.edu/kundaje/oak/projects/neuro-variants/variant_position/credible/roussos_2024/variant_figures/roussos_2024.childhood.Astrocyte/rs4486246_count_position.png",4,220,900)</f>
        <v/>
      </c>
      <c r="T3954">
        <f>IMAGE("https://mitra.stanford.edu/kundaje/oak/projects/neuro-variants/variant_position/credible/roussos_2024/variant_figures/roussos_2024.childhood.Astrocyte/rs4486246_profile_position.png",4,220,900)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0.1083075334</v>
      </c>
      <c r="G3955" t="n">
        <v>0.07256707433945531</v>
      </c>
      <c r="H3955" t="n">
        <v>0.0161466133397561</v>
      </c>
      <c r="I3955" t="n">
        <v>0.2464095031871416</v>
      </c>
      <c r="J3955" t="n">
        <v>0.0350446138932777</v>
      </c>
      <c r="K3955" t="n">
        <v>0.5029727064575701</v>
      </c>
      <c r="L3955" t="b">
        <v>0</v>
      </c>
      <c r="M3955" t="b">
        <v>0</v>
      </c>
      <c r="N3955" t="inlineStr">
        <is>
          <t>alt</t>
        </is>
      </c>
      <c r="O3955" t="n">
        <v>100</v>
      </c>
      <c r="P3955" t="n">
        <v>0.005974</v>
      </c>
      <c r="Q3955" t="n">
        <v>15</v>
      </c>
      <c r="R3955" t="n">
        <v>0.03198</v>
      </c>
      <c r="S3955">
        <f>IMAGE("https://mitra.stanford.edu/kundaje/oak/projects/neuro-variants/variant_position/credible/roussos_2024/variant_figures/roussos_2024.childhood.Astrocyte/rs6999999_count_position.png",4,220,900)</f>
        <v/>
      </c>
      <c r="T3955">
        <f>IMAGE("https://mitra.stanford.edu/kundaje/oak/projects/neuro-variants/variant_position/credible/roussos_2024/variant_figures/roussos_2024.childhood.Astrocyte/rs6999999_profile_position.png",4,220,900)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0.01017123566</v>
      </c>
      <c r="G3956" t="n">
        <v>0.693146103611199</v>
      </c>
      <c r="H3956" t="n">
        <v>0.0124596689711706</v>
      </c>
      <c r="I3956" t="n">
        <v>0.4742813385775163</v>
      </c>
      <c r="J3956" t="n">
        <v>0.0352644394067764</v>
      </c>
      <c r="K3956" t="n">
        <v>0.512978744930655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0.03342</v>
      </c>
      <c r="Q3956" t="n">
        <v>-100</v>
      </c>
      <c r="R3956" t="n">
        <v>0.2637</v>
      </c>
      <c r="S3956">
        <f>IMAGE("https://mitra.stanford.edu/kundaje/oak/projects/neuro-variants/variant_position/credible/roussos_2024/variant_figures/roussos_2024.childhood.Astrocyte/rs7827287_count_position.png",4,220,900)</f>
        <v/>
      </c>
      <c r="T3956">
        <f>IMAGE("https://mitra.stanford.edu/kundaje/oak/projects/neuro-variants/variant_position/credible/roussos_2024/variant_figures/roussos_2024.childhood.Astrocyte/rs7827287_profile_position.png",4,220,900)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-0.0032849231</v>
      </c>
      <c r="G3957" t="n">
        <v>0.8132850733562323</v>
      </c>
      <c r="H3957" t="n">
        <v>0.009678455352331999</v>
      </c>
      <c r="I3957" t="n">
        <v>0.7518113634157486</v>
      </c>
      <c r="J3957" t="n">
        <v>0.0222985505255203</v>
      </c>
      <c r="K3957" t="n">
        <v>0.571720082988156</v>
      </c>
      <c r="L3957" t="b">
        <v>0</v>
      </c>
      <c r="M3957" t="b">
        <v>0</v>
      </c>
      <c r="N3957" t="inlineStr">
        <is>
          <t>ref</t>
        </is>
      </c>
      <c r="O3957" t="n">
        <v>100</v>
      </c>
      <c r="P3957" t="n">
        <v>0.002716</v>
      </c>
      <c r="Q3957" t="n">
        <v>-100</v>
      </c>
      <c r="R3957" t="n">
        <v>0.05267</v>
      </c>
      <c r="S3957">
        <f>IMAGE("https://mitra.stanford.edu/kundaje/oak/projects/neuro-variants/variant_position/credible/roussos_2024/variant_figures/roussos_2024.childhood.Astrocyte/rs13252547_count_position.png",4,220,900)</f>
        <v/>
      </c>
      <c r="T3957">
        <f>IMAGE("https://mitra.stanford.edu/kundaje/oak/projects/neuro-variants/variant_position/credible/roussos_2024/variant_figures/roussos_2024.childhood.Astrocyte/rs13252547_profile_position.png",4,220,900)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0.010619091</v>
      </c>
      <c r="G3958" t="n">
        <v>0.5211827918469263</v>
      </c>
      <c r="H3958" t="n">
        <v>0.0130183435445846</v>
      </c>
      <c r="I3958" t="n">
        <v>0.4311185956970709</v>
      </c>
      <c r="J3958" t="n">
        <v>0.0178348713486447</v>
      </c>
      <c r="K3958" t="n">
        <v>0.6102713292033686</v>
      </c>
      <c r="L3958" t="b">
        <v>0</v>
      </c>
      <c r="M3958" t="b">
        <v>0</v>
      </c>
      <c r="N3958" t="inlineStr">
        <is>
          <t>alt</t>
        </is>
      </c>
      <c r="O3958" t="n">
        <v>-100</v>
      </c>
      <c r="P3958" t="n">
        <v>0.00813</v>
      </c>
      <c r="Q3958" t="n">
        <v>55</v>
      </c>
      <c r="R3958" t="n">
        <v>0.0743</v>
      </c>
      <c r="S3958">
        <f>IMAGE("https://mitra.stanford.edu/kundaje/oak/projects/neuro-variants/variant_position/credible/roussos_2024/variant_figures/roussos_2024.childhood.Astrocyte/rs4574807_count_position.png",4,220,900)</f>
        <v/>
      </c>
      <c r="T3958">
        <f>IMAGE("https://mitra.stanford.edu/kundaje/oak/projects/neuro-variants/variant_position/credible/roussos_2024/variant_figures/roussos_2024.childhood.Astrocyte/rs4574807_profile_position.png",4,220,900)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0.100227354</v>
      </c>
      <c r="G3959" t="n">
        <v>0.0874779125752376</v>
      </c>
      <c r="H3959" t="n">
        <v>0.0182799369384086</v>
      </c>
      <c r="I3959" t="n">
        <v>0.1807301530646809</v>
      </c>
      <c r="J3959" t="n">
        <v>0.0226237090975704</v>
      </c>
      <c r="K3959" t="n">
        <v>0.5733397062478487</v>
      </c>
      <c r="L3959" t="b">
        <v>0</v>
      </c>
      <c r="M3959" t="b">
        <v>0</v>
      </c>
      <c r="N3959" t="inlineStr">
        <is>
          <t>alt</t>
        </is>
      </c>
      <c r="O3959" t="n">
        <v>-100</v>
      </c>
      <c r="P3959" t="n">
        <v>0.004112</v>
      </c>
      <c r="Q3959" t="n">
        <v>25</v>
      </c>
      <c r="R3959" t="n">
        <v>0.0454</v>
      </c>
      <c r="S3959">
        <f>IMAGE("https://mitra.stanford.edu/kundaje/oak/projects/neuro-variants/variant_position/credible/roussos_2024/variant_figures/roussos_2024.childhood.Astrocyte/rs4265143_count_position.png",4,220,900)</f>
        <v/>
      </c>
      <c r="T3959">
        <f>IMAGE("https://mitra.stanford.edu/kundaje/oak/projects/neuro-variants/variant_position/credible/roussos_2024/variant_figures/roussos_2024.childhood.Astrocyte/rs4265143_profile_position.png",4,220,900)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-0.0484373554</v>
      </c>
      <c r="G3960" t="n">
        <v>0.2270360278225127</v>
      </c>
      <c r="H3960" t="n">
        <v>0.0155164952201303</v>
      </c>
      <c r="I3960" t="n">
        <v>0.2710247911285054</v>
      </c>
      <c r="J3960" t="n">
        <v>0.0018746231290024</v>
      </c>
      <c r="K3960" t="n">
        <v>0.861652730669325</v>
      </c>
      <c r="L3960" t="b">
        <v>0</v>
      </c>
      <c r="M3960" t="b">
        <v>0</v>
      </c>
      <c r="N3960" t="inlineStr">
        <is>
          <t>ref</t>
        </is>
      </c>
      <c r="O3960" t="n">
        <v>90</v>
      </c>
      <c r="P3960" t="n">
        <v>0.01617</v>
      </c>
      <c r="Q3960" t="n">
        <v>45</v>
      </c>
      <c r="R3960" t="n">
        <v>0.01288</v>
      </c>
      <c r="S3960">
        <f>IMAGE("https://mitra.stanford.edu/kundaje/oak/projects/neuro-variants/variant_position/credible/roussos_2024/variant_figures/roussos_2024.childhood.Astrocyte/rs11986552_count_position.png",4,220,900)</f>
        <v/>
      </c>
      <c r="T3960">
        <f>IMAGE("https://mitra.stanford.edu/kundaje/oak/projects/neuro-variants/variant_position/credible/roussos_2024/variant_figures/roussos_2024.childhood.Astrocyte/rs11986552_profile_position.png",4,220,900)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0.00443282518</v>
      </c>
      <c r="G3961" t="n">
        <v>0.7941067580344096</v>
      </c>
      <c r="H3961" t="n">
        <v>0.0144994737199155</v>
      </c>
      <c r="I3961" t="n">
        <v>0.3280872289826255</v>
      </c>
      <c r="J3961" t="n">
        <v>0.0194927220962804</v>
      </c>
      <c r="K3961" t="n">
        <v>0.5976241356909465</v>
      </c>
      <c r="L3961" t="b">
        <v>0</v>
      </c>
      <c r="M3961" t="b">
        <v>0</v>
      </c>
      <c r="N3961" t="inlineStr">
        <is>
          <t>alt</t>
        </is>
      </c>
      <c r="O3961" t="n">
        <v>-95</v>
      </c>
      <c r="P3961" t="n">
        <v>0.002357</v>
      </c>
      <c r="Q3961" t="n">
        <v>-25</v>
      </c>
      <c r="R3961" t="n">
        <v>0.07886</v>
      </c>
      <c r="S3961">
        <f>IMAGE("https://mitra.stanford.edu/kundaje/oak/projects/neuro-variants/variant_position/credible/roussos_2024/variant_figures/roussos_2024.childhood.Astrocyte/rs4534094_count_position.png",4,220,900)</f>
        <v/>
      </c>
      <c r="T3961">
        <f>IMAGE("https://mitra.stanford.edu/kundaje/oak/projects/neuro-variants/variant_position/credible/roussos_2024/variant_figures/roussos_2024.childhood.Astrocyte/rs4534094_profile_position.png",4,220,900)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0.02378434274</v>
      </c>
      <c r="G3962" t="n">
        <v>0.4731822809082805</v>
      </c>
      <c r="H3962" t="n">
        <v>0.005856903327847</v>
      </c>
      <c r="I3962" t="n">
        <v>0.9947718050341954</v>
      </c>
      <c r="J3962" t="n">
        <v>0.005513193347225</v>
      </c>
      <c r="K3962" t="n">
        <v>0.7700202628355779</v>
      </c>
      <c r="L3962" t="b">
        <v>0</v>
      </c>
      <c r="M3962" t="b">
        <v>0</v>
      </c>
      <c r="N3962" t="inlineStr">
        <is>
          <t>alt</t>
        </is>
      </c>
      <c r="O3962" t="n">
        <v>-100</v>
      </c>
      <c r="P3962" t="n">
        <v>0.1958</v>
      </c>
      <c r="Q3962" t="n">
        <v>100</v>
      </c>
      <c r="R3962" t="n">
        <v>0.1785</v>
      </c>
      <c r="S3962">
        <f>IMAGE("https://mitra.stanford.edu/kundaje/oak/projects/neuro-variants/variant_position/credible/roussos_2024/variant_figures/roussos_2024.childhood.Astrocyte/rs4739612_count_position.png",4,220,900)</f>
        <v/>
      </c>
      <c r="T3962">
        <f>IMAGE("https://mitra.stanford.edu/kundaje/oak/projects/neuro-variants/variant_position/credible/roussos_2024/variant_figures/roussos_2024.childhood.Astrocyte/rs4739612_profile_position.png",4,220,900)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0.0182091416</v>
      </c>
      <c r="G3963" t="n">
        <v>0.5500495061012922</v>
      </c>
      <c r="H3963" t="n">
        <v>0.0399148888927628</v>
      </c>
      <c r="I3963" t="n">
        <v>0.009930412350837199</v>
      </c>
      <c r="J3963" t="n">
        <v>0.0160182577301488</v>
      </c>
      <c r="K3963" t="n">
        <v>0.6288482820564124</v>
      </c>
      <c r="L3963" t="b">
        <v>1</v>
      </c>
      <c r="M3963" t="b">
        <v>0</v>
      </c>
      <c r="N3963" t="inlineStr">
        <is>
          <t>alt</t>
        </is>
      </c>
      <c r="O3963" t="n">
        <v>0</v>
      </c>
      <c r="P3963" t="n">
        <v>0</v>
      </c>
      <c r="Q3963" t="n">
        <v>-100</v>
      </c>
      <c r="R3963" t="n">
        <v>0.111</v>
      </c>
      <c r="S3963">
        <f>IMAGE("https://mitra.stanford.edu/kundaje/oak/projects/neuro-variants/variant_position/credible/roussos_2024/variant_figures/roussos_2024.childhood.Astrocyte/rs58255283_count_position.png",4,220,900)</f>
        <v/>
      </c>
      <c r="T3963">
        <f>IMAGE("https://mitra.stanford.edu/kundaje/oak/projects/neuro-variants/variant_position/credible/roussos_2024/variant_figures/roussos_2024.childhood.Astrocyte/rs58255283_profile_position.png",4,220,900)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-0.0066289661939999</v>
      </c>
      <c r="G3964" t="n">
        <v>0.785660477865643</v>
      </c>
      <c r="H3964" t="n">
        <v>0.018360309325926</v>
      </c>
      <c r="I3964" t="n">
        <v>0.167328971277758</v>
      </c>
      <c r="J3964" t="n">
        <v>0.0026218772182912</v>
      </c>
      <c r="K3964" t="n">
        <v>0.8431441326829985</v>
      </c>
      <c r="L3964" t="b">
        <v>0</v>
      </c>
      <c r="M3964" t="b">
        <v>0</v>
      </c>
      <c r="N3964" t="inlineStr">
        <is>
          <t>ref</t>
        </is>
      </c>
      <c r="O3964" t="n">
        <v>85</v>
      </c>
      <c r="P3964" t="n">
        <v>0.004707</v>
      </c>
      <c r="Q3964" t="n">
        <v>95</v>
      </c>
      <c r="R3964" t="n">
        <v>0.0324</v>
      </c>
      <c r="S3964">
        <f>IMAGE("https://mitra.stanford.edu/kundaje/oak/projects/neuro-variants/variant_position/credible/roussos_2024/variant_figures/roussos_2024.childhood.Astrocyte/rs13262875_count_position.png",4,220,900)</f>
        <v/>
      </c>
      <c r="T3964">
        <f>IMAGE("https://mitra.stanford.edu/kundaje/oak/projects/neuro-variants/variant_position/credible/roussos_2024/variant_figures/roussos_2024.childhood.Astrocyte/rs13262875_profile_position.png",4,220,900)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0.05775969238</v>
      </c>
      <c r="G3965" t="n">
        <v>0.2203170619029991</v>
      </c>
      <c r="H3965" t="n">
        <v>0.009920918308179</v>
      </c>
      <c r="I3965" t="n">
        <v>0.7133282781169484</v>
      </c>
      <c r="J3965" t="n">
        <v>0.0122621419248471</v>
      </c>
      <c r="K3965" t="n">
        <v>0.6644276981577654</v>
      </c>
      <c r="L3965" t="b">
        <v>0</v>
      </c>
      <c r="M3965" t="b">
        <v>0</v>
      </c>
      <c r="N3965" t="inlineStr">
        <is>
          <t>alt</t>
        </is>
      </c>
      <c r="O3965" t="n">
        <v>-100</v>
      </c>
      <c r="P3965" t="n">
        <v>0.02301</v>
      </c>
      <c r="Q3965" t="n">
        <v>75</v>
      </c>
      <c r="R3965" t="n">
        <v>0.05066</v>
      </c>
      <c r="S3965">
        <f>IMAGE("https://mitra.stanford.edu/kundaje/oak/projects/neuro-variants/variant_position/credible/roussos_2024/variant_figures/roussos_2024.childhood.Astrocyte/rs73291155_count_position.png",4,220,900)</f>
        <v/>
      </c>
      <c r="T3965">
        <f>IMAGE("https://mitra.stanford.edu/kundaje/oak/projects/neuro-variants/variant_position/credible/roussos_2024/variant_figures/roussos_2024.childhood.Astrocyte/rs73291155_profile_position.png",4,220,900)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0.00445081466</v>
      </c>
      <c r="G3966" t="n">
        <v>0.7201868275427683</v>
      </c>
      <c r="H3966" t="n">
        <v>0.0333924429979889</v>
      </c>
      <c r="I3966" t="n">
        <v>0.0195592765864586</v>
      </c>
      <c r="J3966" t="n">
        <v>0.0036935265965972</v>
      </c>
      <c r="K3966" t="n">
        <v>0.8244275992351343</v>
      </c>
      <c r="L3966" t="b">
        <v>0</v>
      </c>
      <c r="M3966" t="b">
        <v>0</v>
      </c>
      <c r="N3966" t="inlineStr">
        <is>
          <t>alt</t>
        </is>
      </c>
      <c r="O3966" t="n">
        <v>75</v>
      </c>
      <c r="P3966" t="n">
        <v>0.00842</v>
      </c>
      <c r="Q3966" t="n">
        <v>100</v>
      </c>
      <c r="R3966" t="n">
        <v>0.11487</v>
      </c>
      <c r="S3966">
        <f>IMAGE("https://mitra.stanford.edu/kundaje/oak/projects/neuro-variants/variant_position/credible/roussos_2024/variant_figures/roussos_2024.childhood.Astrocyte/rs6469448_count_position.png",4,220,900)</f>
        <v/>
      </c>
      <c r="T3966">
        <f>IMAGE("https://mitra.stanford.edu/kundaje/oak/projects/neuro-variants/variant_position/credible/roussos_2024/variant_figures/roussos_2024.childhood.Astrocyte/rs6469448_profile_position.png",4,220,900)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0.0064693526</v>
      </c>
      <c r="G3967" t="n">
        <v>0.8046421035633791</v>
      </c>
      <c r="H3967" t="n">
        <v>0.0258727720633116</v>
      </c>
      <c r="I3967" t="n">
        <v>0.0525956678978806</v>
      </c>
      <c r="J3967" t="n">
        <v>0.0011327120209444</v>
      </c>
      <c r="K3967" t="n">
        <v>0.8963566536814322</v>
      </c>
      <c r="L3967" t="b">
        <v>0</v>
      </c>
      <c r="M3967" t="b">
        <v>0</v>
      </c>
      <c r="N3967" t="inlineStr">
        <is>
          <t>alt</t>
        </is>
      </c>
      <c r="O3967" t="n">
        <v>-60</v>
      </c>
      <c r="P3967" t="n">
        <v>0.005455</v>
      </c>
      <c r="Q3967" t="n">
        <v>-15</v>
      </c>
      <c r="R3967" t="n">
        <v>0.0425</v>
      </c>
      <c r="S3967">
        <f>IMAGE("https://mitra.stanford.edu/kundaje/oak/projects/neuro-variants/variant_position/credible/roussos_2024/variant_figures/roussos_2024.childhood.Astrocyte/rs16884208_count_position.png",4,220,900)</f>
        <v/>
      </c>
      <c r="T3967">
        <f>IMAGE("https://mitra.stanford.edu/kundaje/oak/projects/neuro-variants/variant_position/credible/roussos_2024/variant_figures/roussos_2024.childhood.Astrocyte/rs16884208_profile_position.png",4,220,900)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0.0424030212</v>
      </c>
      <c r="G3968" t="n">
        <v>0.2596871877703099</v>
      </c>
      <c r="H3968" t="n">
        <v>0.0094097548727163</v>
      </c>
      <c r="I3968" t="n">
        <v>0.7669448379078743</v>
      </c>
      <c r="J3968" t="n">
        <v>0.0009892148107438999</v>
      </c>
      <c r="K3968" t="n">
        <v>0.9127078343046184</v>
      </c>
      <c r="L3968" t="b">
        <v>0</v>
      </c>
      <c r="M3968" t="b">
        <v>0</v>
      </c>
      <c r="N3968" t="inlineStr">
        <is>
          <t>alt</t>
        </is>
      </c>
      <c r="O3968" t="n">
        <v>75</v>
      </c>
      <c r="P3968" t="n">
        <v>0.0091</v>
      </c>
      <c r="Q3968" t="n">
        <v>100</v>
      </c>
      <c r="R3968" t="n">
        <v>0.04395</v>
      </c>
      <c r="S3968">
        <f>IMAGE("https://mitra.stanford.edu/kundaje/oak/projects/neuro-variants/variant_position/credible/roussos_2024/variant_figures/roussos_2024.childhood.Astrocyte/rs7007660_count_position.png",4,220,900)</f>
        <v/>
      </c>
      <c r="T3968">
        <f>IMAGE("https://mitra.stanford.edu/kundaje/oak/projects/neuro-variants/variant_position/credible/roussos_2024/variant_figures/roussos_2024.childhood.Astrocyte/rs7007660_profile_position.png",4,220,900)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0.0515275886</v>
      </c>
      <c r="G3969" t="n">
        <v>0.2043779027449083</v>
      </c>
      <c r="H3969" t="n">
        <v>0.0105234754545965</v>
      </c>
      <c r="I3969" t="n">
        <v>0.6605768106240554</v>
      </c>
      <c r="J3969" t="n">
        <v>0.0022089410974482</v>
      </c>
      <c r="K3969" t="n">
        <v>0.8832146577394679</v>
      </c>
      <c r="L3969" t="b">
        <v>0</v>
      </c>
      <c r="M3969" t="b">
        <v>0</v>
      </c>
      <c r="N3969" t="inlineStr">
        <is>
          <t>alt</t>
        </is>
      </c>
      <c r="O3969" t="n">
        <v>60</v>
      </c>
      <c r="P3969" t="n">
        <v>0.009445</v>
      </c>
      <c r="Q3969" t="n">
        <v>20</v>
      </c>
      <c r="R3969" t="n">
        <v>0.03168</v>
      </c>
      <c r="S3969">
        <f>IMAGE("https://mitra.stanford.edu/kundaje/oak/projects/neuro-variants/variant_position/credible/roussos_2024/variant_figures/roussos_2024.childhood.Astrocyte/rs16884246_count_position.png",4,220,900)</f>
        <v/>
      </c>
      <c r="T3969">
        <f>IMAGE("https://mitra.stanford.edu/kundaje/oak/projects/neuro-variants/variant_position/credible/roussos_2024/variant_figures/roussos_2024.childhood.Astrocyte/rs16884246_profile_position.png",4,220,900)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-0.0661707886</v>
      </c>
      <c r="G3970" t="n">
        <v>0.1466205407854045</v>
      </c>
      <c r="H3970" t="n">
        <v>0.0194091658703529</v>
      </c>
      <c r="I3970" t="n">
        <v>0.1427326765386969</v>
      </c>
      <c r="J3970" t="n">
        <v>0.0194079976796195</v>
      </c>
      <c r="K3970" t="n">
        <v>0.6234256736809231</v>
      </c>
      <c r="L3970" t="b">
        <v>0</v>
      </c>
      <c r="M3970" t="b">
        <v>0</v>
      </c>
      <c r="N3970" t="inlineStr">
        <is>
          <t>ref</t>
        </is>
      </c>
      <c r="O3970" t="n">
        <v>95</v>
      </c>
      <c r="P3970" t="n">
        <v>0.02637</v>
      </c>
      <c r="Q3970" t="n">
        <v>80</v>
      </c>
      <c r="R3970" t="n">
        <v>0.063</v>
      </c>
      <c r="S3970">
        <f>IMAGE("https://mitra.stanford.edu/kundaje/oak/projects/neuro-variants/variant_position/credible/roussos_2024/variant_figures/roussos_2024.childhood.Astrocyte/rs34846572_count_position.png",4,220,900)</f>
        <v/>
      </c>
      <c r="T3970">
        <f>IMAGE("https://mitra.stanford.edu/kundaje/oak/projects/neuro-variants/variant_position/credible/roussos_2024/variant_figures/roussos_2024.childhood.Astrocyte/rs34846572_profile_position.png",4,220,900)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-0.03054373688</v>
      </c>
      <c r="G3971" t="n">
        <v>0.4078839850791673</v>
      </c>
      <c r="H3971" t="n">
        <v>0.0132071679000637</v>
      </c>
      <c r="I3971" t="n">
        <v>0.4204796140419048</v>
      </c>
      <c r="J3971" t="n">
        <v>0.0139650263714287</v>
      </c>
      <c r="K3971" t="n">
        <v>0.6448946198725868</v>
      </c>
      <c r="L3971" t="b">
        <v>0</v>
      </c>
      <c r="M3971" t="b">
        <v>0</v>
      </c>
      <c r="N3971" t="inlineStr">
        <is>
          <t>ref</t>
        </is>
      </c>
      <c r="O3971" t="n">
        <v>10</v>
      </c>
      <c r="P3971" t="n">
        <v>0.0012665</v>
      </c>
      <c r="Q3971" t="n">
        <v>90</v>
      </c>
      <c r="R3971" t="n">
        <v>0.07920000000000001</v>
      </c>
      <c r="S3971">
        <f>IMAGE("https://mitra.stanford.edu/kundaje/oak/projects/neuro-variants/variant_position/credible/roussos_2024/variant_figures/roussos_2024.childhood.Astrocyte/rs10504857_count_position.png",4,220,900)</f>
        <v/>
      </c>
      <c r="T3971">
        <f>IMAGE("https://mitra.stanford.edu/kundaje/oak/projects/neuro-variants/variant_position/credible/roussos_2024/variant_figures/roussos_2024.childhood.Astrocyte/rs10504857_profile_position.png",4,220,900)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-0.0253544335999999</v>
      </c>
      <c r="G3972" t="n">
        <v>0.3633526271483931</v>
      </c>
      <c r="H3972" t="n">
        <v>0.0149858173058562</v>
      </c>
      <c r="I3972" t="n">
        <v>0.3038945549061239</v>
      </c>
      <c r="J3972" t="n">
        <v>0.0273232427316372</v>
      </c>
      <c r="K3972" t="n">
        <v>0.5478680772662871</v>
      </c>
      <c r="L3972" t="b">
        <v>0</v>
      </c>
      <c r="M3972" t="b">
        <v>0</v>
      </c>
      <c r="N3972" t="inlineStr">
        <is>
          <t>ref</t>
        </is>
      </c>
      <c r="O3972" t="n">
        <v>-45</v>
      </c>
      <c r="P3972" t="n">
        <v>0.011856</v>
      </c>
      <c r="Q3972" t="n">
        <v>-40</v>
      </c>
      <c r="R3972" t="n">
        <v>0.0796</v>
      </c>
      <c r="S3972">
        <f>IMAGE("https://mitra.stanford.edu/kundaje/oak/projects/neuro-variants/variant_position/credible/roussos_2024/variant_figures/roussos_2024.childhood.Astrocyte/rs7838490_count_position.png",4,220,900)</f>
        <v/>
      </c>
      <c r="T3972">
        <f>IMAGE("https://mitra.stanford.edu/kundaje/oak/projects/neuro-variants/variant_position/credible/roussos_2024/variant_figures/roussos_2024.childhood.Astrocyte/rs7838490_profile_position.png",4,220,900)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0.0189783328</v>
      </c>
      <c r="G3973" t="n">
        <v>0.5394437354091682</v>
      </c>
      <c r="H3973" t="n">
        <v>0.0250926614024803</v>
      </c>
      <c r="I3973" t="n">
        <v>0.0574986523093469</v>
      </c>
      <c r="J3973" t="n">
        <v>0.008493813591017601</v>
      </c>
      <c r="K3973" t="n">
        <v>0.7125184316851955</v>
      </c>
      <c r="L3973" t="b">
        <v>0</v>
      </c>
      <c r="M3973" t="b">
        <v>0</v>
      </c>
      <c r="N3973" t="inlineStr">
        <is>
          <t>alt</t>
        </is>
      </c>
      <c r="O3973" t="n">
        <v>-40</v>
      </c>
      <c r="P3973" t="n">
        <v>0.003723</v>
      </c>
      <c r="Q3973" t="n">
        <v>-100</v>
      </c>
      <c r="R3973" t="n">
        <v>0.06635000000000001</v>
      </c>
      <c r="S3973">
        <f>IMAGE("https://mitra.stanford.edu/kundaje/oak/projects/neuro-variants/variant_position/credible/roussos_2024/variant_figures/roussos_2024.childhood.Astrocyte/rs71526952_count_position.png",4,220,900)</f>
        <v/>
      </c>
      <c r="T3973">
        <f>IMAGE("https://mitra.stanford.edu/kundaje/oak/projects/neuro-variants/variant_position/credible/roussos_2024/variant_figures/roussos_2024.childhood.Astrocyte/rs71526952_profile_position.png",4,220,900)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-0.0298765516</v>
      </c>
      <c r="G3974" t="n">
        <v>0.2710936911811952</v>
      </c>
      <c r="H3974" t="n">
        <v>0.0118911378774253</v>
      </c>
      <c r="I3974" t="n">
        <v>0.5229193262183139</v>
      </c>
      <c r="J3974" t="n">
        <v>0.100573988840802</v>
      </c>
      <c r="K3974" t="n">
        <v>0.3255534848149604</v>
      </c>
      <c r="L3974" t="b">
        <v>0</v>
      </c>
      <c r="M3974" t="b">
        <v>0</v>
      </c>
      <c r="N3974" t="inlineStr">
        <is>
          <t>ref</t>
        </is>
      </c>
      <c r="O3974" t="n">
        <v>20</v>
      </c>
      <c r="P3974" t="n">
        <v>0.001488</v>
      </c>
      <c r="Q3974" t="n">
        <v>20</v>
      </c>
      <c r="R3974" t="n">
        <v>0.0564</v>
      </c>
      <c r="S3974">
        <f>IMAGE("https://mitra.stanford.edu/kundaje/oak/projects/neuro-variants/variant_position/credible/roussos_2024/variant_figures/roussos_2024.childhood.Astrocyte/rs3191333_count_position.png",4,220,900)</f>
        <v/>
      </c>
      <c r="T3974">
        <f>IMAGE("https://mitra.stanford.edu/kundaje/oak/projects/neuro-variants/variant_position/credible/roussos_2024/variant_figures/roussos_2024.childhood.Astrocyte/rs3191333_profile_position.png",4,220,900)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0.079333467</v>
      </c>
      <c r="G3975" t="n">
        <v>0.1183829887698596</v>
      </c>
      <c r="H3975" t="n">
        <v>0.0158445849755954</v>
      </c>
      <c r="I3975" t="n">
        <v>0.2531865615626339</v>
      </c>
      <c r="J3975" t="n">
        <v>0.5216696053063437</v>
      </c>
      <c r="K3975" t="n">
        <v>0.0506197513337481</v>
      </c>
      <c r="L3975" t="b">
        <v>0</v>
      </c>
      <c r="M3975" t="b">
        <v>0</v>
      </c>
      <c r="N3975" t="inlineStr">
        <is>
          <t>alt</t>
        </is>
      </c>
      <c r="O3975" t="n">
        <v>45</v>
      </c>
      <c r="P3975" t="n">
        <v>0.002356</v>
      </c>
      <c r="Q3975" t="n">
        <v>-70</v>
      </c>
      <c r="R3975" t="n">
        <v>0.02979</v>
      </c>
      <c r="S3975">
        <f>IMAGE("https://mitra.stanford.edu/kundaje/oak/projects/neuro-variants/variant_position/credible/roussos_2024/variant_figures/roussos_2024.childhood.Astrocyte/rs4734654_count_position.png",4,220,900)</f>
        <v/>
      </c>
      <c r="T3975">
        <f>IMAGE("https://mitra.stanford.edu/kundaje/oak/projects/neuro-variants/variant_position/credible/roussos_2024/variant_figures/roussos_2024.childhood.Astrocyte/rs4734654_profile_position.png",4,220,900)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-0.0827950474</v>
      </c>
      <c r="G3976" t="n">
        <v>0.1000706234779762</v>
      </c>
      <c r="H3976" t="n">
        <v>0.0131581727028082</v>
      </c>
      <c r="I3976" t="n">
        <v>0.4194737668848035</v>
      </c>
      <c r="J3976" t="n">
        <v>0.0200148076908398</v>
      </c>
      <c r="K3976" t="n">
        <v>0.6060772375536772</v>
      </c>
      <c r="L3976" t="b">
        <v>0</v>
      </c>
      <c r="M3976" t="b">
        <v>0</v>
      </c>
      <c r="N3976" t="inlineStr">
        <is>
          <t>ref</t>
        </is>
      </c>
      <c r="O3976" t="n">
        <v>10</v>
      </c>
      <c r="P3976" t="n">
        <v>0.000763</v>
      </c>
      <c r="Q3976" t="n">
        <v>-15</v>
      </c>
      <c r="R3976" t="n">
        <v>0.02399</v>
      </c>
      <c r="S3976">
        <f>IMAGE("https://mitra.stanford.edu/kundaje/oak/projects/neuro-variants/variant_position/credible/roussos_2024/variant_figures/roussos_2024.childhood.Astrocyte/rs1434281_count_position.png",4,220,900)</f>
        <v/>
      </c>
      <c r="T3976">
        <f>IMAGE("https://mitra.stanford.edu/kundaje/oak/projects/neuro-variants/variant_position/credible/roussos_2024/variant_figures/roussos_2024.childhood.Astrocyte/rs1434281_profile_position.png",4,220,900)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0.0051632684105</v>
      </c>
      <c r="G3977" t="n">
        <v>0.8488772995696658</v>
      </c>
      <c r="H3977" t="n">
        <v>0.0356389245536718</v>
      </c>
      <c r="I3977" t="n">
        <v>0.0150236616489974</v>
      </c>
      <c r="J3977" t="n">
        <v>0.0006480272950012</v>
      </c>
      <c r="K3977" t="n">
        <v>0.9268434885043828</v>
      </c>
      <c r="L3977" t="b">
        <v>0</v>
      </c>
      <c r="M3977" t="b">
        <v>0</v>
      </c>
      <c r="N3977" t="inlineStr">
        <is>
          <t>alt</t>
        </is>
      </c>
      <c r="O3977" t="n">
        <v>100</v>
      </c>
      <c r="P3977" t="n">
        <v>0.006767</v>
      </c>
      <c r="Q3977" t="n">
        <v>45</v>
      </c>
      <c r="R3977" t="n">
        <v>0.06247</v>
      </c>
      <c r="S3977">
        <f>IMAGE("https://mitra.stanford.edu/kundaje/oak/projects/neuro-variants/variant_position/credible/roussos_2024/variant_figures/roussos_2024.childhood.Astrocyte/rs2436936_count_position.png",4,220,900)</f>
        <v/>
      </c>
      <c r="T3977">
        <f>IMAGE("https://mitra.stanford.edu/kundaje/oak/projects/neuro-variants/variant_position/credible/roussos_2024/variant_figures/roussos_2024.childhood.Astrocyte/rs2436936_profile_position.png",4,220,900)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0.0025219643</v>
      </c>
      <c r="G3978" t="n">
        <v>0.7330184697881621</v>
      </c>
      <c r="H3978" t="n">
        <v>0.0246062145184183</v>
      </c>
      <c r="I3978" t="n">
        <v>0.0627491862564485</v>
      </c>
      <c r="J3978" t="n">
        <v>0.0057314922946577</v>
      </c>
      <c r="K3978" t="n">
        <v>0.7675062461885525</v>
      </c>
      <c r="L3978" t="b">
        <v>0</v>
      </c>
      <c r="M3978" t="b">
        <v>0</v>
      </c>
      <c r="N3978" t="inlineStr">
        <is>
          <t>alt</t>
        </is>
      </c>
      <c r="O3978" t="n">
        <v>-100</v>
      </c>
      <c r="P3978" t="n">
        <v>0.01135</v>
      </c>
      <c r="Q3978" t="n">
        <v>100</v>
      </c>
      <c r="R3978" t="n">
        <v>0.1626</v>
      </c>
      <c r="S3978">
        <f>IMAGE("https://mitra.stanford.edu/kundaje/oak/projects/neuro-variants/variant_position/credible/roussos_2024/variant_figures/roussos_2024.childhood.Astrocyte/rs7841632_count_position.png",4,220,900)</f>
        <v/>
      </c>
      <c r="T3978">
        <f>IMAGE("https://mitra.stanford.edu/kundaje/oak/projects/neuro-variants/variant_position/credible/roussos_2024/variant_figures/roussos_2024.childhood.Astrocyte/rs7841632_profile_position.png",4,220,900)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-0.1209019018</v>
      </c>
      <c r="G3979" t="n">
        <v>0.0538818314582422</v>
      </c>
      <c r="H3979" t="n">
        <v>0.0182030448206072</v>
      </c>
      <c r="I3979" t="n">
        <v>0.1674244588897873</v>
      </c>
      <c r="J3979" t="n">
        <v>0.0443154496118705</v>
      </c>
      <c r="K3979" t="n">
        <v>0.4643688193122445</v>
      </c>
      <c r="L3979" t="b">
        <v>0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-35</v>
      </c>
      <c r="R3979" t="n">
        <v>0.05884</v>
      </c>
      <c r="S3979">
        <f>IMAGE("https://mitra.stanford.edu/kundaje/oak/projects/neuro-variants/variant_position/credible/roussos_2024/variant_figures/roussos_2024.childhood.Astrocyte/rs36043959_count_position.png",4,220,900)</f>
        <v/>
      </c>
      <c r="T3979">
        <f>IMAGE("https://mitra.stanford.edu/kundaje/oak/projects/neuro-variants/variant_position/credible/roussos_2024/variant_figures/roussos_2024.childhood.Astrocyte/rs36043959_profile_position.png",4,220,900)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-0.0057043741999999</v>
      </c>
      <c r="G3980" t="n">
        <v>0.6583145628529419</v>
      </c>
      <c r="H3980" t="n">
        <v>0.0360326992603006</v>
      </c>
      <c r="I3980" t="n">
        <v>0.0146644911749889</v>
      </c>
      <c r="J3980" t="n">
        <v>0.0014922183294787</v>
      </c>
      <c r="K3980" t="n">
        <v>0.8870711343920478</v>
      </c>
      <c r="L3980" t="b">
        <v>0</v>
      </c>
      <c r="M3980" t="b">
        <v>0</v>
      </c>
      <c r="N3980" t="inlineStr">
        <is>
          <t>ref</t>
        </is>
      </c>
      <c r="O3980" t="n">
        <v>-100</v>
      </c>
      <c r="P3980" t="n">
        <v>0.01065</v>
      </c>
      <c r="Q3980" t="n">
        <v>55</v>
      </c>
      <c r="R3980" t="n">
        <v>0.01917</v>
      </c>
      <c r="S3980">
        <f>IMAGE("https://mitra.stanford.edu/kundaje/oak/projects/neuro-variants/variant_position/credible/roussos_2024/variant_figures/roussos_2024.childhood.Astrocyte/rs13267290_count_position.png",4,220,900)</f>
        <v/>
      </c>
      <c r="T3980">
        <f>IMAGE("https://mitra.stanford.edu/kundaje/oak/projects/neuro-variants/variant_position/credible/roussos_2024/variant_figures/roussos_2024.childhood.Astrocyte/rs13267290_profile_position.png",4,220,900)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0.0373306268</v>
      </c>
      <c r="G3981" t="n">
        <v>0.3197742158367212</v>
      </c>
      <c r="H3981" t="n">
        <v>0.011194411258692</v>
      </c>
      <c r="I3981" t="n">
        <v>0.5758619487783083</v>
      </c>
      <c r="J3981" t="n">
        <v>0.0024928823857174</v>
      </c>
      <c r="K3981" t="n">
        <v>0.849830674030618</v>
      </c>
      <c r="L3981" t="b">
        <v>0</v>
      </c>
      <c r="M3981" t="b">
        <v>0</v>
      </c>
      <c r="N3981" t="inlineStr">
        <is>
          <t>alt</t>
        </is>
      </c>
      <c r="O3981" t="n">
        <v>-95</v>
      </c>
      <c r="P3981" t="n">
        <v>0.0405</v>
      </c>
      <c r="Q3981" t="n">
        <v>-80</v>
      </c>
      <c r="R3981" t="n">
        <v>0.09216000000000001</v>
      </c>
      <c r="S3981">
        <f>IMAGE("https://mitra.stanford.edu/kundaje/oak/projects/neuro-variants/variant_position/credible/roussos_2024/variant_figures/roussos_2024.childhood.Astrocyte/rs6995307_count_position.png",4,220,900)</f>
        <v/>
      </c>
      <c r="T3981">
        <f>IMAGE("https://mitra.stanford.edu/kundaje/oak/projects/neuro-variants/variant_position/credible/roussos_2024/variant_figures/roussos_2024.childhood.Astrocyte/rs6995307_profile_position.png",4,220,900)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-0.0418886879999999</v>
      </c>
      <c r="G3982" t="n">
        <v>0.2714756526029887</v>
      </c>
      <c r="H3982" t="n">
        <v>0.0527983194520651</v>
      </c>
      <c r="I3982" t="n">
        <v>0.0033850304479855</v>
      </c>
      <c r="J3982" t="n">
        <v>0.0011197362093837</v>
      </c>
      <c r="K3982" t="n">
        <v>0.9030416152997778</v>
      </c>
      <c r="L3982" t="b">
        <v>0</v>
      </c>
      <c r="M3982" t="b">
        <v>0</v>
      </c>
      <c r="N3982" t="inlineStr">
        <is>
          <t>ref</t>
        </is>
      </c>
      <c r="O3982" t="n">
        <v>-15</v>
      </c>
      <c r="P3982" t="n">
        <v>0.00119</v>
      </c>
      <c r="Q3982" t="n">
        <v>-45</v>
      </c>
      <c r="R3982" t="n">
        <v>0.04382</v>
      </c>
      <c r="S3982">
        <f>IMAGE("https://mitra.stanford.edu/kundaje/oak/projects/neuro-variants/variant_position/credible/roussos_2024/variant_figures/roussos_2024.childhood.Astrocyte/rs111534212_count_position.png",4,220,900)</f>
        <v/>
      </c>
      <c r="T3982">
        <f>IMAGE("https://mitra.stanford.edu/kundaje/oak/projects/neuro-variants/variant_position/credible/roussos_2024/variant_figures/roussos_2024.childhood.Astrocyte/rs111534212_profile_position.png",4,220,900)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-0.06972561200000001</v>
      </c>
      <c r="G3983" t="n">
        <v>0.1367043438446615</v>
      </c>
      <c r="H3983" t="n">
        <v>0.0293614626356136</v>
      </c>
      <c r="I3983" t="n">
        <v>0.0322419396203018</v>
      </c>
      <c r="J3983" t="n">
        <v>0.0241960721455122</v>
      </c>
      <c r="K3983" t="n">
        <v>0.5686828123593156</v>
      </c>
      <c r="L3983" t="b">
        <v>0</v>
      </c>
      <c r="M3983" t="b">
        <v>0</v>
      </c>
      <c r="N3983" t="inlineStr">
        <is>
          <t>ref</t>
        </is>
      </c>
      <c r="O3983" t="n">
        <v>-30</v>
      </c>
      <c r="P3983" t="n">
        <v>0.0076</v>
      </c>
      <c r="Q3983" t="n">
        <v>-60</v>
      </c>
      <c r="R3983" t="n">
        <v>0.1825</v>
      </c>
      <c r="S3983">
        <f>IMAGE("https://mitra.stanford.edu/kundaje/oak/projects/neuro-variants/variant_position/credible/roussos_2024/variant_figures/roussos_2024.childhood.Astrocyte/rs13280766_count_position.png",4,220,900)</f>
        <v/>
      </c>
      <c r="T3983">
        <f>IMAGE("https://mitra.stanford.edu/kundaje/oak/projects/neuro-variants/variant_position/credible/roussos_2024/variant_figures/roussos_2024.childhood.Astrocyte/rs13280766_profile_position.png",4,220,900)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0.0231343158</v>
      </c>
      <c r="G3984" t="n">
        <v>0.4654754009355173</v>
      </c>
      <c r="H3984" t="n">
        <v>0.0328393812370607</v>
      </c>
      <c r="I3984" t="n">
        <v>0.0214502461266498</v>
      </c>
      <c r="J3984" t="n">
        <v>0.0191698533733293</v>
      </c>
      <c r="K3984" t="n">
        <v>0.5964648091488136</v>
      </c>
      <c r="L3984" t="b">
        <v>0</v>
      </c>
      <c r="M3984" t="b">
        <v>0</v>
      </c>
      <c r="N3984" t="inlineStr">
        <is>
          <t>alt</t>
        </is>
      </c>
      <c r="O3984" t="n">
        <v>-45</v>
      </c>
      <c r="P3984" t="n">
        <v>0.08887</v>
      </c>
      <c r="Q3984" t="n">
        <v>95</v>
      </c>
      <c r="R3984" t="n">
        <v>0.1458</v>
      </c>
      <c r="S3984">
        <f>IMAGE("https://mitra.stanford.edu/kundaje/oak/projects/neuro-variants/variant_position/credible/roussos_2024/variant_figures/roussos_2024.childhood.Astrocyte/rs6990323_count_position.png",4,220,900)</f>
        <v/>
      </c>
      <c r="T3984">
        <f>IMAGE("https://mitra.stanford.edu/kundaje/oak/projects/neuro-variants/variant_position/credible/roussos_2024/variant_figures/roussos_2024.childhood.Astrocyte/rs6990323_profile_position.png",4,220,900)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0.114871003</v>
      </c>
      <c r="G3985" t="n">
        <v>0.0620095436522794</v>
      </c>
      <c r="H3985" t="n">
        <v>0.029921244041131</v>
      </c>
      <c r="I3985" t="n">
        <v>0.0325720034668137</v>
      </c>
      <c r="J3985" t="n">
        <v>0.0119209544091044</v>
      </c>
      <c r="K3985" t="n">
        <v>0.6804992904114056</v>
      </c>
      <c r="L3985" t="b">
        <v>0</v>
      </c>
      <c r="M3985" t="b">
        <v>0</v>
      </c>
      <c r="N3985" t="inlineStr">
        <is>
          <t>alt</t>
        </is>
      </c>
      <c r="O3985" t="n">
        <v>100</v>
      </c>
      <c r="P3985" t="n">
        <v>0.00733</v>
      </c>
      <c r="Q3985" t="n">
        <v>70</v>
      </c>
      <c r="R3985" t="n">
        <v>0.157</v>
      </c>
      <c r="S3985">
        <f>IMAGE("https://mitra.stanford.edu/kundaje/oak/projects/neuro-variants/variant_position/credible/roussos_2024/variant_figures/roussos_2024.childhood.Astrocyte/rs16880919_count_position.png",4,220,900)</f>
        <v/>
      </c>
      <c r="T3985">
        <f>IMAGE("https://mitra.stanford.edu/kundaje/oak/projects/neuro-variants/variant_position/credible/roussos_2024/variant_figures/roussos_2024.childhood.Astrocyte/rs16880919_profile_position.png",4,220,900)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-0.0369062765999999</v>
      </c>
      <c r="G3986" t="n">
        <v>0.3247059704768704</v>
      </c>
      <c r="H3986" t="n">
        <v>0.0108594288488809</v>
      </c>
      <c r="I3986" t="n">
        <v>0.6044706019268717</v>
      </c>
      <c r="J3986" t="n">
        <v>0.0050712524711287</v>
      </c>
      <c r="K3986" t="n">
        <v>0.7814887470604541</v>
      </c>
      <c r="L3986" t="b">
        <v>0</v>
      </c>
      <c r="M3986" t="b">
        <v>0</v>
      </c>
      <c r="N3986" t="inlineStr">
        <is>
          <t>ref</t>
        </is>
      </c>
      <c r="O3986" t="n">
        <v>15</v>
      </c>
      <c r="P3986" t="n">
        <v>0.001457</v>
      </c>
      <c r="Q3986" t="n">
        <v>-100</v>
      </c>
      <c r="R3986" t="n">
        <v>0.02884</v>
      </c>
      <c r="S3986">
        <f>IMAGE("https://mitra.stanford.edu/kundaje/oak/projects/neuro-variants/variant_position/credible/roussos_2024/variant_figures/roussos_2024.childhood.Astrocyte/rs7007361_count_position.png",4,220,900)</f>
        <v/>
      </c>
      <c r="T3986">
        <f>IMAGE("https://mitra.stanford.edu/kundaje/oak/projects/neuro-variants/variant_position/credible/roussos_2024/variant_figures/roussos_2024.childhood.Astrocyte/rs7007361_profile_position.png",4,220,900)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-0.0699092322</v>
      </c>
      <c r="G3987" t="n">
        <v>0.1338942523787304</v>
      </c>
      <c r="H3987" t="n">
        <v>0.0117820838121993</v>
      </c>
      <c r="I3987" t="n">
        <v>0.5399605772038034</v>
      </c>
      <c r="J3987" t="n">
        <v>0.0017005945974826</v>
      </c>
      <c r="K3987" t="n">
        <v>0.8674375860068029</v>
      </c>
      <c r="L3987" t="b">
        <v>0</v>
      </c>
      <c r="M3987" t="b">
        <v>0</v>
      </c>
      <c r="N3987" t="inlineStr">
        <is>
          <t>ref</t>
        </is>
      </c>
      <c r="O3987" t="n">
        <v>-80</v>
      </c>
      <c r="P3987" t="n">
        <v>0.0008125</v>
      </c>
      <c r="Q3987" t="n">
        <v>-50</v>
      </c>
      <c r="R3987" t="n">
        <v>0.0575</v>
      </c>
      <c r="S3987">
        <f>IMAGE("https://mitra.stanford.edu/kundaje/oak/projects/neuro-variants/variant_position/credible/roussos_2024/variant_figures/roussos_2024.childhood.Astrocyte/rs34921000_count_position.png",4,220,900)</f>
        <v/>
      </c>
      <c r="T3987">
        <f>IMAGE("https://mitra.stanford.edu/kundaje/oak/projects/neuro-variants/variant_position/credible/roussos_2024/variant_figures/roussos_2024.childhood.Astrocyte/rs34921000_profile_position.png",4,220,900)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0.182943742</v>
      </c>
      <c r="G3988" t="n">
        <v>0.0272625185352084</v>
      </c>
      <c r="H3988" t="n">
        <v>0.0234904808531319</v>
      </c>
      <c r="I3988" t="n">
        <v>0.0794929762598242</v>
      </c>
      <c r="J3988" t="n">
        <v>0.1789707891583278</v>
      </c>
      <c r="K3988" t="n">
        <v>0.2235251040691133</v>
      </c>
      <c r="L3988" t="b">
        <v>0</v>
      </c>
      <c r="M3988" t="b">
        <v>0</v>
      </c>
      <c r="N3988" t="inlineStr">
        <is>
          <t>alt</t>
        </is>
      </c>
      <c r="O3988" t="n">
        <v>40</v>
      </c>
      <c r="P3988" t="n">
        <v>0.01917</v>
      </c>
      <c r="Q3988" t="n">
        <v>45</v>
      </c>
      <c r="R3988" t="n">
        <v>0.1411</v>
      </c>
      <c r="S3988">
        <f>IMAGE("https://mitra.stanford.edu/kundaje/oak/projects/neuro-variants/variant_position/credible/roussos_2024/variant_figures/roussos_2024.childhood.Astrocyte/rs800531_count_position.png",4,220,900)</f>
        <v/>
      </c>
      <c r="T3988">
        <f>IMAGE("https://mitra.stanford.edu/kundaje/oak/projects/neuro-variants/variant_position/credible/roussos_2024/variant_figures/roussos_2024.childhood.Astrocyte/rs800531_profile_position.png",4,220,900)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-0.00781187006</v>
      </c>
      <c r="G3989" t="n">
        <v>0.7860763904222382</v>
      </c>
      <c r="H3989" t="n">
        <v>0.0124390266229655</v>
      </c>
      <c r="I3989" t="n">
        <v>0.4773964579629046</v>
      </c>
      <c r="J3989" t="n">
        <v>0.0133521100959446</v>
      </c>
      <c r="K3989" t="n">
        <v>0.6476093586666544</v>
      </c>
      <c r="L3989" t="b">
        <v>0</v>
      </c>
      <c r="M3989" t="b">
        <v>0</v>
      </c>
      <c r="N3989" t="inlineStr">
        <is>
          <t>ref</t>
        </is>
      </c>
      <c r="O3989" t="n">
        <v>-100</v>
      </c>
      <c r="P3989" t="n">
        <v>0.0028</v>
      </c>
      <c r="Q3989" t="n">
        <v>100</v>
      </c>
      <c r="R3989" t="n">
        <v>0.1207</v>
      </c>
      <c r="S3989">
        <f>IMAGE("https://mitra.stanford.edu/kundaje/oak/projects/neuro-variants/variant_position/credible/roussos_2024/variant_figures/roussos_2024.childhood.Astrocyte/rs800524_count_position.png",4,220,900)</f>
        <v/>
      </c>
      <c r="T3989">
        <f>IMAGE("https://mitra.stanford.edu/kundaje/oak/projects/neuro-variants/variant_position/credible/roussos_2024/variant_figures/roussos_2024.childhood.Astrocyte/rs800524_profile_position.png",4,220,900)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0.19096408</v>
      </c>
      <c r="G3990" t="n">
        <v>0.0183537794967446</v>
      </c>
      <c r="H3990" t="n">
        <v>0.0289485086166501</v>
      </c>
      <c r="I3990" t="n">
        <v>0.03919100934273</v>
      </c>
      <c r="J3990" t="n">
        <v>0.0088731652584094</v>
      </c>
      <c r="K3990" t="n">
        <v>0.7061818833082359</v>
      </c>
      <c r="L3990" t="b">
        <v>1</v>
      </c>
      <c r="M3990" t="b">
        <v>0</v>
      </c>
      <c r="N3990" t="inlineStr">
        <is>
          <t>alt</t>
        </is>
      </c>
      <c r="O3990" t="n">
        <v>65</v>
      </c>
      <c r="P3990" t="n">
        <v>0.02953</v>
      </c>
      <c r="Q3990" t="n">
        <v>80</v>
      </c>
      <c r="R3990" t="n">
        <v>0.08765000000000001</v>
      </c>
      <c r="S3990">
        <f>IMAGE("https://mitra.stanford.edu/kundaje/oak/projects/neuro-variants/variant_position/credible/roussos_2024/variant_figures/roussos_2024.childhood.Astrocyte/rs800582_count_position.png",4,220,900)</f>
        <v/>
      </c>
      <c r="T3990">
        <f>IMAGE("https://mitra.stanford.edu/kundaje/oak/projects/neuro-variants/variant_position/credible/roussos_2024/variant_figures/roussos_2024.childhood.Astrocyte/rs800582_profile_position.png",4,220,900)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0.0166602134</v>
      </c>
      <c r="G3991" t="n">
        <v>0.5732999554061711</v>
      </c>
      <c r="H3991" t="n">
        <v>0.0156467943663299</v>
      </c>
      <c r="I3991" t="n">
        <v>0.2657521712193263</v>
      </c>
      <c r="J3991" t="n">
        <v>0.0107897689542258</v>
      </c>
      <c r="K3991" t="n">
        <v>0.6852922686939549</v>
      </c>
      <c r="L3991" t="b">
        <v>0</v>
      </c>
      <c r="M3991" t="b">
        <v>0</v>
      </c>
      <c r="N3991" t="inlineStr">
        <is>
          <t>alt</t>
        </is>
      </c>
      <c r="O3991" t="n">
        <v>-95</v>
      </c>
      <c r="P3991" t="n">
        <v>0.01059</v>
      </c>
      <c r="Q3991" t="n">
        <v>-100</v>
      </c>
      <c r="R3991" t="n">
        <v>0.08887</v>
      </c>
      <c r="S3991">
        <f>IMAGE("https://mitra.stanford.edu/kundaje/oak/projects/neuro-variants/variant_position/credible/roussos_2024/variant_figures/roussos_2024.childhood.Astrocyte/rs4876349_count_position.png",4,220,900)</f>
        <v/>
      </c>
      <c r="T3991">
        <f>IMAGE("https://mitra.stanford.edu/kundaje/oak/projects/neuro-variants/variant_position/credible/roussos_2024/variant_figures/roussos_2024.childhood.Astrocyte/rs4876349_profile_position.png",4,220,900)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-0.0458354736</v>
      </c>
      <c r="G3992" t="n">
        <v>0.2440685971638448</v>
      </c>
      <c r="H3992" t="n">
        <v>0.0104162311379756</v>
      </c>
      <c r="I3992" t="n">
        <v>0.6795517085801621</v>
      </c>
      <c r="J3992" t="n">
        <v>0.0011846152671871</v>
      </c>
      <c r="K3992" t="n">
        <v>0.8982969571638371</v>
      </c>
      <c r="L3992" t="b">
        <v>0</v>
      </c>
      <c r="M3992" t="b">
        <v>0</v>
      </c>
      <c r="N3992" t="inlineStr">
        <is>
          <t>ref</t>
        </is>
      </c>
      <c r="O3992" t="n">
        <v>-90</v>
      </c>
      <c r="P3992" t="n">
        <v>0.0698</v>
      </c>
      <c r="Q3992" t="n">
        <v>-25</v>
      </c>
      <c r="R3992" t="n">
        <v>0.03592</v>
      </c>
      <c r="S3992">
        <f>IMAGE("https://mitra.stanford.edu/kundaje/oak/projects/neuro-variants/variant_position/credible/roussos_2024/variant_figures/roussos_2024.childhood.Astrocyte/rs76032162_count_position.png",4,220,900)</f>
        <v/>
      </c>
      <c r="T3992">
        <f>IMAGE("https://mitra.stanford.edu/kundaje/oak/projects/neuro-variants/variant_position/credible/roussos_2024/variant_figures/roussos_2024.childhood.Astrocyte/rs76032162_profile_position.png",4,220,900)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0.0154361158599999</v>
      </c>
      <c r="G3993" t="n">
        <v>0.6101062873834123</v>
      </c>
      <c r="H3993" t="n">
        <v>0.009220285734055899</v>
      </c>
      <c r="I3993" t="n">
        <v>0.7975418912485055</v>
      </c>
      <c r="J3993" t="n">
        <v>0.0567852045216886</v>
      </c>
      <c r="K3993" t="n">
        <v>0.4250137189031452</v>
      </c>
      <c r="L3993" t="b">
        <v>0</v>
      </c>
      <c r="M3993" t="b">
        <v>0</v>
      </c>
      <c r="N3993" t="inlineStr">
        <is>
          <t>alt</t>
        </is>
      </c>
      <c r="O3993" t="n">
        <v>-100</v>
      </c>
      <c r="P3993" t="n">
        <v>0.003822</v>
      </c>
      <c r="Q3993" t="n">
        <v>100</v>
      </c>
      <c r="R3993" t="n">
        <v>0.1687</v>
      </c>
      <c r="S3993">
        <f>IMAGE("https://mitra.stanford.edu/kundaje/oak/projects/neuro-variants/variant_position/credible/roussos_2024/variant_figures/roussos_2024.childhood.Astrocyte/rs10099070_count_position.png",4,220,900)</f>
        <v/>
      </c>
      <c r="T3993">
        <f>IMAGE("https://mitra.stanford.edu/kundaje/oak/projects/neuro-variants/variant_position/credible/roussos_2024/variant_figures/roussos_2024.childhood.Astrocyte/rs10099070_profile_position.png",4,220,900)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-0.022796153</v>
      </c>
      <c r="G3994" t="n">
        <v>0.482301303547736</v>
      </c>
      <c r="H3994" t="n">
        <v>0.0460199505563853</v>
      </c>
      <c r="I3994" t="n">
        <v>0.0054984485351178</v>
      </c>
      <c r="J3994" t="n">
        <v>0.009590651309412</v>
      </c>
      <c r="K3994" t="n">
        <v>0.7007031959076401</v>
      </c>
      <c r="L3994" t="b">
        <v>0</v>
      </c>
      <c r="M3994" t="b">
        <v>0</v>
      </c>
      <c r="N3994" t="inlineStr">
        <is>
          <t>ref</t>
        </is>
      </c>
      <c r="O3994" t="n">
        <v>-55</v>
      </c>
      <c r="P3994" t="n">
        <v>0.003479</v>
      </c>
      <c r="Q3994" t="n">
        <v>-65</v>
      </c>
      <c r="R3994" t="n">
        <v>0.07446</v>
      </c>
      <c r="S3994">
        <f>IMAGE("https://mitra.stanford.edu/kundaje/oak/projects/neuro-variants/variant_position/credible/roussos_2024/variant_figures/roussos_2024.childhood.Astrocyte/rs10111734_count_position.png",4,220,900)</f>
        <v/>
      </c>
      <c r="T3994">
        <f>IMAGE("https://mitra.stanford.edu/kundaje/oak/projects/neuro-variants/variant_position/credible/roussos_2024/variant_figures/roussos_2024.childhood.Astrocyte/rs10111734_profile_position.png",4,220,900)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0.0411787397999999</v>
      </c>
      <c r="G3995" t="n">
        <v>0.2960719229810672</v>
      </c>
      <c r="H3995" t="n">
        <v>0.0141766802171433</v>
      </c>
      <c r="I3995" t="n">
        <v>0.3493396071414593</v>
      </c>
      <c r="J3995" t="n">
        <v>0.0094799752696296</v>
      </c>
      <c r="K3995" t="n">
        <v>0.7104012289814952</v>
      </c>
      <c r="L3995" t="b">
        <v>0</v>
      </c>
      <c r="M3995" t="b">
        <v>0</v>
      </c>
      <c r="N3995" t="inlineStr">
        <is>
          <t>alt</t>
        </is>
      </c>
      <c r="O3995" t="n">
        <v>40</v>
      </c>
      <c r="P3995" t="n">
        <v>0.000702</v>
      </c>
      <c r="Q3995" t="n">
        <v>-5</v>
      </c>
      <c r="R3995" t="n">
        <v>0.01062</v>
      </c>
      <c r="S3995">
        <f>IMAGE("https://mitra.stanford.edu/kundaje/oak/projects/neuro-variants/variant_position/credible/roussos_2024/variant_figures/roussos_2024.childhood.Astrocyte/rs6577846_count_position.png",4,220,900)</f>
        <v/>
      </c>
      <c r="T3995">
        <f>IMAGE("https://mitra.stanford.edu/kundaje/oak/projects/neuro-variants/variant_position/credible/roussos_2024/variant_figures/roussos_2024.childhood.Astrocyte/rs6577846_profile_position.png",4,220,900)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0.0284666109769999</v>
      </c>
      <c r="G3996" t="n">
        <v>0.402921620891195</v>
      </c>
      <c r="H3996" t="n">
        <v>0.0212013385357108</v>
      </c>
      <c r="I3996" t="n">
        <v>0.1061585880167816</v>
      </c>
      <c r="J3996" t="n">
        <v>0.3252547457122575</v>
      </c>
      <c r="K3996" t="n">
        <v>0.1198490667540163</v>
      </c>
      <c r="L3996" t="b">
        <v>0</v>
      </c>
      <c r="M3996" t="b">
        <v>0</v>
      </c>
      <c r="N3996" t="inlineStr">
        <is>
          <t>alt</t>
        </is>
      </c>
      <c r="O3996" t="n">
        <v>30</v>
      </c>
      <c r="P3996" t="n">
        <v>0.01245</v>
      </c>
      <c r="Q3996" t="n">
        <v>50</v>
      </c>
      <c r="R3996" t="n">
        <v>0.12036</v>
      </c>
      <c r="S3996">
        <f>IMAGE("https://mitra.stanford.edu/kundaje/oak/projects/neuro-variants/variant_position/credible/roussos_2024/variant_figures/roussos_2024.childhood.Astrocyte/rs10095483_count_position.png",4,220,900)</f>
        <v/>
      </c>
      <c r="T3996">
        <f>IMAGE("https://mitra.stanford.edu/kundaje/oak/projects/neuro-variants/variant_position/credible/roussos_2024/variant_figures/roussos_2024.childhood.Astrocyte/rs10095483_profile_position.png",4,220,900)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0.00835619122</v>
      </c>
      <c r="G3997" t="n">
        <v>0.7036176714763539</v>
      </c>
      <c r="H3997" t="n">
        <v>0.0078077580270157</v>
      </c>
      <c r="I3997" t="n">
        <v>0.9148556135658288</v>
      </c>
      <c r="J3997" t="n">
        <v>0.0199964888980482</v>
      </c>
      <c r="K3997" t="n">
        <v>0.6044359127841179</v>
      </c>
      <c r="L3997" t="b">
        <v>0</v>
      </c>
      <c r="M3997" t="b">
        <v>0</v>
      </c>
      <c r="N3997" t="inlineStr">
        <is>
          <t>alt</t>
        </is>
      </c>
      <c r="O3997" t="n">
        <v>75</v>
      </c>
      <c r="P3997" t="n">
        <v>0.0094</v>
      </c>
      <c r="Q3997" t="n">
        <v>-80</v>
      </c>
      <c r="R3997" t="n">
        <v>0.0751</v>
      </c>
      <c r="S3997">
        <f>IMAGE("https://mitra.stanford.edu/kundaje/oak/projects/neuro-variants/variant_position/credible/roussos_2024/variant_figures/roussos_2024.childhood.Astrocyte/rs7844406_count_position.png",4,220,900)</f>
        <v/>
      </c>
      <c r="T3997">
        <f>IMAGE("https://mitra.stanford.edu/kundaje/oak/projects/neuro-variants/variant_position/credible/roussos_2024/variant_figures/roussos_2024.childhood.Astrocyte/rs7844406_profile_position.png",4,220,900)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-0.0260762983999999</v>
      </c>
      <c r="G3998" t="n">
        <v>0.4381490127122051</v>
      </c>
      <c r="H3998" t="n">
        <v>0.0304479632827299</v>
      </c>
      <c r="I3998" t="n">
        <v>0.0283777367213893</v>
      </c>
      <c r="J3998" t="n">
        <v>0.0471319640035721</v>
      </c>
      <c r="K3998" t="n">
        <v>0.4618606925452536</v>
      </c>
      <c r="L3998" t="b">
        <v>0</v>
      </c>
      <c r="M3998" t="b">
        <v>0</v>
      </c>
      <c r="N3998" t="inlineStr">
        <is>
          <t>ref</t>
        </is>
      </c>
      <c r="O3998" t="n">
        <v>-100</v>
      </c>
      <c r="P3998" t="n">
        <v>0.002834</v>
      </c>
      <c r="Q3998" t="n">
        <v>0</v>
      </c>
      <c r="R3998" t="n">
        <v>0</v>
      </c>
      <c r="S3998">
        <f>IMAGE("https://mitra.stanford.edu/kundaje/oak/projects/neuro-variants/variant_position/credible/roussos_2024/variant_figures/roussos_2024.childhood.Astrocyte/rs7840432_count_position.png",4,220,900)</f>
        <v/>
      </c>
      <c r="T3998">
        <f>IMAGE("https://mitra.stanford.edu/kundaje/oak/projects/neuro-variants/variant_position/credible/roussos_2024/variant_figures/roussos_2024.childhood.Astrocyte/rs7840432_profile_position.png",4,220,900)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0.3224407539999999</v>
      </c>
      <c r="G3999" t="n">
        <v>0.0045631715390736</v>
      </c>
      <c r="H3999" t="n">
        <v>0.0423058177592345</v>
      </c>
      <c r="I3999" t="n">
        <v>0.0090243981764961</v>
      </c>
      <c r="J3999" t="n">
        <v>0.5225046369444254</v>
      </c>
      <c r="K3999" t="n">
        <v>0.0486971058063301</v>
      </c>
      <c r="L3999" t="b">
        <v>1</v>
      </c>
      <c r="M3999" t="b">
        <v>1</v>
      </c>
      <c r="N3999" t="inlineStr">
        <is>
          <t>alt</t>
        </is>
      </c>
      <c r="O3999" t="n">
        <v>100</v>
      </c>
      <c r="P3999" t="n">
        <v>0.01721</v>
      </c>
      <c r="Q3999" t="n">
        <v>100</v>
      </c>
      <c r="R3999" t="n">
        <v>0.146</v>
      </c>
      <c r="S3999">
        <f>IMAGE("https://mitra.stanford.edu/kundaje/oak/projects/neuro-variants/variant_position/credible/roussos_2024/variant_figures/roussos_2024.childhood.Astrocyte/rs13274282_count_position.png",4,220,900)</f>
        <v/>
      </c>
      <c r="T3999">
        <f>IMAGE("https://mitra.stanford.edu/kundaje/oak/projects/neuro-variants/variant_position/credible/roussos_2024/variant_figures/roussos_2024.childhood.Astrocyte/rs13274282_profile_position.png",4,220,900)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-0.02175896634</v>
      </c>
      <c r="G4000" t="n">
        <v>0.4429510664266169</v>
      </c>
      <c r="H4000" t="n">
        <v>0.0113503591965776</v>
      </c>
      <c r="I4000" t="n">
        <v>0.5713197287113161</v>
      </c>
      <c r="J4000" t="n">
        <v>0.3831261019898789</v>
      </c>
      <c r="K4000" t="n">
        <v>0.09305323323234881</v>
      </c>
      <c r="L4000" t="b">
        <v>0</v>
      </c>
      <c r="M4000" t="b">
        <v>0</v>
      </c>
      <c r="N4000" t="inlineStr">
        <is>
          <t>ref</t>
        </is>
      </c>
      <c r="O4000" t="n">
        <v>-40</v>
      </c>
      <c r="P4000" t="n">
        <v>0.008970000000000001</v>
      </c>
      <c r="Q4000" t="n">
        <v>-20</v>
      </c>
      <c r="R4000" t="n">
        <v>0.09520000000000001</v>
      </c>
      <c r="S4000">
        <f>IMAGE("https://mitra.stanford.edu/kundaje/oak/projects/neuro-variants/variant_position/credible/roussos_2024/variant_figures/roussos_2024.childhood.Astrocyte/rs62520201_count_position.png",4,220,900)</f>
        <v/>
      </c>
      <c r="T4000">
        <f>IMAGE("https://mitra.stanford.edu/kundaje/oak/projects/neuro-variants/variant_position/credible/roussos_2024/variant_figures/roussos_2024.childhood.Astrocyte/rs62520201_profile_position.png",4,220,900)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0.23842609</v>
      </c>
      <c r="G4001" t="n">
        <v>0.0107159408096536</v>
      </c>
      <c r="H4001" t="n">
        <v>0.0319813137633831</v>
      </c>
      <c r="I4001" t="n">
        <v>0.024586660521001</v>
      </c>
      <c r="J4001" t="n">
        <v>0.4607909138787754</v>
      </c>
      <c r="K4001" t="n">
        <v>0.0661071108986241</v>
      </c>
      <c r="L4001" t="b">
        <v>1</v>
      </c>
      <c r="M4001" t="b">
        <v>0</v>
      </c>
      <c r="N4001" t="inlineStr">
        <is>
          <t>alt</t>
        </is>
      </c>
      <c r="O4001" t="n">
        <v>85</v>
      </c>
      <c r="P4001" t="n">
        <v>0.003735</v>
      </c>
      <c r="Q4001" t="n">
        <v>-40</v>
      </c>
      <c r="R4001" t="n">
        <v>0.0713</v>
      </c>
      <c r="S4001">
        <f>IMAGE("https://mitra.stanford.edu/kundaje/oak/projects/neuro-variants/variant_position/credible/roussos_2024/variant_figures/roussos_2024.childhood.Astrocyte/rs2319423_count_position.png",4,220,900)</f>
        <v/>
      </c>
      <c r="T4001">
        <f>IMAGE("https://mitra.stanford.edu/kundaje/oak/projects/neuro-variants/variant_position/credible/roussos_2024/variant_figures/roussos_2024.childhood.Astrocyte/rs2319423_profile_position.png",4,220,900)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-0.0147251563199999</v>
      </c>
      <c r="G4002" t="n">
        <v>0.5132772724062127</v>
      </c>
      <c r="H4002" t="n">
        <v>0.0109286188252215</v>
      </c>
      <c r="I4002" t="n">
        <v>0.6158119469481734</v>
      </c>
      <c r="J4002" t="n">
        <v>0.2189187332554784</v>
      </c>
      <c r="K4002" t="n">
        <v>0.1895034851649588</v>
      </c>
      <c r="L4002" t="b">
        <v>0</v>
      </c>
      <c r="M4002" t="b">
        <v>0</v>
      </c>
      <c r="N4002" t="inlineStr">
        <is>
          <t>ref</t>
        </is>
      </c>
      <c r="O4002" t="n">
        <v>-95</v>
      </c>
      <c r="P4002" t="n">
        <v>0.0406</v>
      </c>
      <c r="Q4002" t="n">
        <v>-95</v>
      </c>
      <c r="R4002" t="n">
        <v>0.3843</v>
      </c>
      <c r="S4002">
        <f>IMAGE("https://mitra.stanford.edu/kundaje/oak/projects/neuro-variants/variant_position/credible/roussos_2024/variant_figures/roussos_2024.childhood.Astrocyte/rs10101804_count_position.png",4,220,900)</f>
        <v/>
      </c>
      <c r="T4002">
        <f>IMAGE("https://mitra.stanford.edu/kundaje/oak/projects/neuro-variants/variant_position/credible/roussos_2024/variant_figures/roussos_2024.childhood.Astrocyte/rs10101804_profile_position.png",4,220,900)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-0.0226959139999999</v>
      </c>
      <c r="G4003" t="n">
        <v>0.4868957694190463</v>
      </c>
      <c r="H4003" t="n">
        <v>0.0377691508624341</v>
      </c>
      <c r="I4003" t="n">
        <v>0.0127310701500018</v>
      </c>
      <c r="J4003" t="n">
        <v>0.0003182890247532</v>
      </c>
      <c r="K4003" t="n">
        <v>0.9670203308343652</v>
      </c>
      <c r="L4003" t="b">
        <v>0</v>
      </c>
      <c r="M4003" t="b">
        <v>0</v>
      </c>
      <c r="N4003" t="inlineStr">
        <is>
          <t>ref</t>
        </is>
      </c>
      <c r="O4003" t="n">
        <v>0</v>
      </c>
      <c r="P4003" t="n">
        <v>0</v>
      </c>
      <c r="Q4003" t="n">
        <v>-70</v>
      </c>
      <c r="R4003" t="n">
        <v>0.01088</v>
      </c>
      <c r="S4003">
        <f>IMAGE("https://mitra.stanford.edu/kundaje/oak/projects/neuro-variants/variant_position/credible/roussos_2024/variant_figures/roussos_2024.childhood.Astrocyte/rs9693845_count_position.png",4,220,900)</f>
        <v/>
      </c>
      <c r="T4003">
        <f>IMAGE("https://mitra.stanford.edu/kundaje/oak/projects/neuro-variants/variant_position/credible/roussos_2024/variant_figures/roussos_2024.childhood.Astrocyte/rs9693845_profile_position.png",4,220,900)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0.025417242</v>
      </c>
      <c r="G4004" t="n">
        <v>0.4396782524276819</v>
      </c>
      <c r="H4004" t="n">
        <v>0.0147055374737063</v>
      </c>
      <c r="I4004" t="n">
        <v>0.3106152987548884</v>
      </c>
      <c r="J4004" t="n">
        <v>0.0164128750582002</v>
      </c>
      <c r="K4004" t="n">
        <v>0.6249533379792768</v>
      </c>
      <c r="L4004" t="b">
        <v>0</v>
      </c>
      <c r="M4004" t="b">
        <v>0</v>
      </c>
      <c r="N4004" t="inlineStr">
        <is>
          <t>alt</t>
        </is>
      </c>
      <c r="O4004" t="n">
        <v>95</v>
      </c>
      <c r="P4004" t="n">
        <v>0.00571</v>
      </c>
      <c r="Q4004" t="n">
        <v>90</v>
      </c>
      <c r="R4004" t="n">
        <v>0.0892</v>
      </c>
      <c r="S4004">
        <f>IMAGE("https://mitra.stanford.edu/kundaje/oak/projects/neuro-variants/variant_position/credible/roussos_2024/variant_figures/roussos_2024.childhood.Astrocyte/rs16893602_count_position.png",4,220,900)</f>
        <v/>
      </c>
      <c r="T4004">
        <f>IMAGE("https://mitra.stanford.edu/kundaje/oak/projects/neuro-variants/variant_position/credible/roussos_2024/variant_figures/roussos_2024.childhood.Astrocyte/rs16893602_profile_position.png",4,220,900)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-0.026893284</v>
      </c>
      <c r="G4005" t="n">
        <v>0.1169827102088795</v>
      </c>
      <c r="H4005" t="n">
        <v>0.0162348316003093</v>
      </c>
      <c r="I4005" t="n">
        <v>0.2534696797634652</v>
      </c>
      <c r="J4005" t="n">
        <v>0.1594666178165525</v>
      </c>
      <c r="K4005" t="n">
        <v>0.2440290526288899</v>
      </c>
      <c r="L4005" t="b">
        <v>0</v>
      </c>
      <c r="M4005" t="b">
        <v>0</v>
      </c>
      <c r="N4005" t="inlineStr">
        <is>
          <t>ref</t>
        </is>
      </c>
      <c r="O4005" t="n">
        <v>90</v>
      </c>
      <c r="P4005" t="n">
        <v>0.006866</v>
      </c>
      <c r="Q4005" t="n">
        <v>90</v>
      </c>
      <c r="R4005" t="n">
        <v>0.05328</v>
      </c>
      <c r="S4005">
        <f>IMAGE("https://mitra.stanford.edu/kundaje/oak/projects/neuro-variants/variant_position/credible/roussos_2024/variant_figures/roussos_2024.childhood.Astrocyte/rs741469_count_position.png",4,220,900)</f>
        <v/>
      </c>
      <c r="T4005">
        <f>IMAGE("https://mitra.stanford.edu/kundaje/oak/projects/neuro-variants/variant_position/credible/roussos_2024/variant_figures/roussos_2024.childhood.Astrocyte/rs741469_profile_position.png",4,220,900)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-0.141333396</v>
      </c>
      <c r="G4006" t="n">
        <v>0.0387195243698717</v>
      </c>
      <c r="H4006" t="n">
        <v>0.0394763530448242</v>
      </c>
      <c r="I4006" t="n">
        <v>0.0106269672853401</v>
      </c>
      <c r="J4006" t="n">
        <v>0.44030363399052</v>
      </c>
      <c r="K4006" t="n">
        <v>0.0737597609987157</v>
      </c>
      <c r="L4006" t="b">
        <v>1</v>
      </c>
      <c r="M4006" t="b">
        <v>0</v>
      </c>
      <c r="N4006" t="inlineStr">
        <is>
          <t>ref</t>
        </is>
      </c>
      <c r="O4006" t="n">
        <v>-75</v>
      </c>
      <c r="P4006" t="n">
        <v>0.0935</v>
      </c>
      <c r="Q4006" t="n">
        <v>-100</v>
      </c>
      <c r="R4006" t="n">
        <v>0.2094</v>
      </c>
      <c r="S4006">
        <f>IMAGE("https://mitra.stanford.edu/kundaje/oak/projects/neuro-variants/variant_position/credible/roussos_2024/variant_figures/roussos_2024.childhood.Astrocyte/rs199211_count_position.png",4,220,900)</f>
        <v/>
      </c>
      <c r="T4006">
        <f>IMAGE("https://mitra.stanford.edu/kundaje/oak/projects/neuro-variants/variant_position/credible/roussos_2024/variant_figures/roussos_2024.childhood.Astrocyte/rs199211_profile_position.png",4,220,900)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0.001815551</v>
      </c>
      <c r="G4007" t="n">
        <v>0.0751803748902565</v>
      </c>
      <c r="H4007" t="n">
        <v>0.0161691345572146</v>
      </c>
      <c r="I4007" t="n">
        <v>0.258547918513854</v>
      </c>
      <c r="J4007" t="n">
        <v>0.0810827933105874</v>
      </c>
      <c r="K4007" t="n">
        <v>0.4172355554232923</v>
      </c>
      <c r="L4007" t="b">
        <v>0</v>
      </c>
      <c r="M4007" t="b">
        <v>0</v>
      </c>
      <c r="N4007" t="inlineStr">
        <is>
          <t>alt</t>
        </is>
      </c>
      <c r="O4007" t="n">
        <v>100</v>
      </c>
      <c r="P4007" t="n">
        <v>0.02994</v>
      </c>
      <c r="Q4007" t="n">
        <v>-40</v>
      </c>
      <c r="R4007" t="n">
        <v>0.0635</v>
      </c>
      <c r="S4007">
        <f>IMAGE("https://mitra.stanford.edu/kundaje/oak/projects/neuro-variants/variant_position/credible/roussos_2024/variant_figures/roussos_2024.childhood.Astrocyte/rs11786405_count_position.png",4,220,900)</f>
        <v/>
      </c>
      <c r="T4007">
        <f>IMAGE("https://mitra.stanford.edu/kundaje/oak/projects/neuro-variants/variant_position/credible/roussos_2024/variant_figures/roussos_2024.childhood.Astrocyte/rs11786405_profile_position.png",4,220,900)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0.0710568192</v>
      </c>
      <c r="G4008" t="n">
        <v>0.1347662824121817</v>
      </c>
      <c r="H4008" t="n">
        <v>0.016453826133087</v>
      </c>
      <c r="I4008" t="n">
        <v>0.2342542235450757</v>
      </c>
      <c r="J4008" t="n">
        <v>0.6079167716180838</v>
      </c>
      <c r="K4008" t="n">
        <v>0.0324462768959997</v>
      </c>
      <c r="L4008" t="b">
        <v>0</v>
      </c>
      <c r="M4008" t="b">
        <v>0</v>
      </c>
      <c r="N4008" t="inlineStr">
        <is>
          <t>alt</t>
        </is>
      </c>
      <c r="O4008" t="n">
        <v>-50</v>
      </c>
      <c r="P4008" t="n">
        <v>0.001007</v>
      </c>
      <c r="Q4008" t="n">
        <v>-80</v>
      </c>
      <c r="R4008" t="n">
        <v>0.1106</v>
      </c>
      <c r="S4008">
        <f>IMAGE("https://mitra.stanford.edu/kundaje/oak/projects/neuro-variants/variant_position/credible/roussos_2024/variant_figures/roussos_2024.childhood.Astrocyte/rs4976978_count_position.png",4,220,900)</f>
        <v/>
      </c>
      <c r="T4008">
        <f>IMAGE("https://mitra.stanford.edu/kundaje/oak/projects/neuro-variants/variant_position/credible/roussos_2024/variant_figures/roussos_2024.childhood.Astrocyte/rs4976978_profile_position.png",4,220,900)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0.1298104128</v>
      </c>
      <c r="G4009" t="n">
        <v>0.050235567203846</v>
      </c>
      <c r="H4009" t="n">
        <v>0.0173307722818775</v>
      </c>
      <c r="I4009" t="n">
        <v>0.2040190075906617</v>
      </c>
      <c r="J4009" t="n">
        <v>0.0295283674139207</v>
      </c>
      <c r="K4009" t="n">
        <v>0.5636931294325882</v>
      </c>
      <c r="L4009" t="b">
        <v>0</v>
      </c>
      <c r="M4009" t="b">
        <v>0</v>
      </c>
      <c r="N4009" t="inlineStr">
        <is>
          <t>alt</t>
        </is>
      </c>
      <c r="O4009" t="n">
        <v>15</v>
      </c>
      <c r="P4009" t="n">
        <v>0.0007324</v>
      </c>
      <c r="Q4009" t="n">
        <v>80</v>
      </c>
      <c r="R4009" t="n">
        <v>0.07779999999999999</v>
      </c>
      <c r="S4009">
        <f>IMAGE("https://mitra.stanford.edu/kundaje/oak/projects/neuro-variants/variant_position/credible/roussos_2024/variant_figures/roussos_2024.childhood.Astrocyte/rs4976981_count_position.png",4,220,900)</f>
        <v/>
      </c>
      <c r="T4009">
        <f>IMAGE("https://mitra.stanford.edu/kundaje/oak/projects/neuro-variants/variant_position/credible/roussos_2024/variant_figures/roussos_2024.childhood.Astrocyte/rs4976981_profile_position.png",4,220,900)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-0.1424366268</v>
      </c>
      <c r="G4010" t="n">
        <v>0.046756051561833</v>
      </c>
      <c r="H4010" t="n">
        <v>0.0162744755828462</v>
      </c>
      <c r="I4010" t="n">
        <v>0.2452448168611393</v>
      </c>
      <c r="J4010" t="n">
        <v>0.0474082724615113</v>
      </c>
      <c r="K4010" t="n">
        <v>0.5070249080539007</v>
      </c>
      <c r="L4010" t="b">
        <v>0</v>
      </c>
      <c r="M4010" t="b">
        <v>0</v>
      </c>
      <c r="N4010" t="inlineStr">
        <is>
          <t>ref</t>
        </is>
      </c>
      <c r="O4010" t="n">
        <v>-60</v>
      </c>
      <c r="P4010" t="n">
        <v>0.06415</v>
      </c>
      <c r="Q4010" t="n">
        <v>-60</v>
      </c>
      <c r="R4010" t="n">
        <v>0.08309999999999999</v>
      </c>
      <c r="S4010">
        <f>IMAGE("https://mitra.stanford.edu/kundaje/oak/projects/neuro-variants/variant_position/credible/roussos_2024/variant_figures/roussos_2024.childhood.Astrocyte/rs7832212_count_position.png",4,220,900)</f>
        <v/>
      </c>
      <c r="T4010">
        <f>IMAGE("https://mitra.stanford.edu/kundaje/oak/projects/neuro-variants/variant_position/credible/roussos_2024/variant_figures/roussos_2024.childhood.Astrocyte/rs7832212_profile_position.png",4,220,900)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0.1761121312</v>
      </c>
      <c r="G4011" t="n">
        <v>0.0227415116021841</v>
      </c>
      <c r="H4011" t="n">
        <v>0.0149271675173629</v>
      </c>
      <c r="I4011" t="n">
        <v>0.3057979193801116</v>
      </c>
      <c r="J4011" t="n">
        <v>0.0534282857426361</v>
      </c>
      <c r="K4011" t="n">
        <v>0.4769473236801315</v>
      </c>
      <c r="L4011" t="b">
        <v>0</v>
      </c>
      <c r="M4011" t="b">
        <v>0</v>
      </c>
      <c r="N4011" t="inlineStr">
        <is>
          <t>alt</t>
        </is>
      </c>
      <c r="O4011" t="n">
        <v>-100</v>
      </c>
      <c r="P4011" t="n">
        <v>0.0075</v>
      </c>
      <c r="Q4011" t="n">
        <v>-10</v>
      </c>
      <c r="R4011" t="n">
        <v>0.01611</v>
      </c>
      <c r="S4011">
        <f>IMAGE("https://mitra.stanford.edu/kundaje/oak/projects/neuro-variants/variant_position/credible/roussos_2024/variant_figures/roussos_2024.childhood.Astrocyte/rs7822538_count_position.png",4,220,900)</f>
        <v/>
      </c>
      <c r="T4011">
        <f>IMAGE("https://mitra.stanford.edu/kundaje/oak/projects/neuro-variants/variant_position/credible/roussos_2024/variant_figures/roussos_2024.childhood.Astrocyte/rs7822538_profile_position.png",4,220,900)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-0.00088205368</v>
      </c>
      <c r="G4012" t="n">
        <v>0.5541769513188631</v>
      </c>
      <c r="H4012" t="n">
        <v>0.0124480369597486</v>
      </c>
      <c r="I4012" t="n">
        <v>0.4711022255404675</v>
      </c>
      <c r="J4012" t="n">
        <v>0.5597268973307992</v>
      </c>
      <c r="K4012" t="n">
        <v>0.0415938014364409</v>
      </c>
      <c r="L4012" t="b">
        <v>0</v>
      </c>
      <c r="M4012" t="b">
        <v>0</v>
      </c>
      <c r="N4012" t="inlineStr">
        <is>
          <t>ref</t>
        </is>
      </c>
      <c r="O4012" t="n">
        <v>10</v>
      </c>
      <c r="P4012" t="n">
        <v>0.0001261</v>
      </c>
      <c r="Q4012" t="n">
        <v>-100</v>
      </c>
      <c r="R4012" t="n">
        <v>0.06537</v>
      </c>
      <c r="S4012">
        <f>IMAGE("https://mitra.stanford.edu/kundaje/oak/projects/neuro-variants/variant_position/credible/roussos_2024/variant_figures/roussos_2024.childhood.Astrocyte/rs9694368_count_position.png",4,220,900)</f>
        <v/>
      </c>
      <c r="T4012">
        <f>IMAGE("https://mitra.stanford.edu/kundaje/oak/projects/neuro-variants/variant_position/credible/roussos_2024/variant_figures/roussos_2024.childhood.Astrocyte/rs9694368_profile_position.png",4,220,900)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-0.0139536307199999</v>
      </c>
      <c r="G4013" t="n">
        <v>0.616766338155553</v>
      </c>
      <c r="H4013" t="n">
        <v>0.0122228016534518</v>
      </c>
      <c r="I4013" t="n">
        <v>0.4856981503852007</v>
      </c>
      <c r="J4013" t="n">
        <v>0.2955920404845321</v>
      </c>
      <c r="K4013" t="n">
        <v>0.1334161524047759</v>
      </c>
      <c r="L4013" t="b">
        <v>0</v>
      </c>
      <c r="M4013" t="b">
        <v>0</v>
      </c>
      <c r="N4013" t="inlineStr">
        <is>
          <t>ref</t>
        </is>
      </c>
      <c r="O4013" t="n">
        <v>-70</v>
      </c>
      <c r="P4013" t="n">
        <v>0.005745</v>
      </c>
      <c r="Q4013" t="n">
        <v>-75</v>
      </c>
      <c r="R4013" t="n">
        <v>0.1083</v>
      </c>
      <c r="S4013">
        <f>IMAGE("https://mitra.stanford.edu/kundaje/oak/projects/neuro-variants/variant_position/credible/roussos_2024/variant_figures/roussos_2024.childhood.Astrocyte/rs7830479_count_position.png",4,220,900)</f>
        <v/>
      </c>
      <c r="T4013">
        <f>IMAGE("https://mitra.stanford.edu/kundaje/oak/projects/neuro-variants/variant_position/credible/roussos_2024/variant_figures/roussos_2024.childhood.Astrocyte/rs7830479_profile_position.png",4,220,900)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0.1521317952</v>
      </c>
      <c r="G4014" t="n">
        <v>0.0386515723793439</v>
      </c>
      <c r="H4014" t="n">
        <v>0.0348966349471903</v>
      </c>
      <c r="I4014" t="n">
        <v>0.0277115055522317</v>
      </c>
      <c r="J4014" t="n">
        <v>0.2840466213276545</v>
      </c>
      <c r="K4014" t="n">
        <v>0.1427552390804352</v>
      </c>
      <c r="L4014" t="b">
        <v>0</v>
      </c>
      <c r="M4014" t="b">
        <v>0</v>
      </c>
      <c r="N4014" t="inlineStr">
        <is>
          <t>alt</t>
        </is>
      </c>
      <c r="O4014" t="n">
        <v>40</v>
      </c>
      <c r="P4014" t="n">
        <v>0.00232</v>
      </c>
      <c r="Q4014" t="n">
        <v>-10</v>
      </c>
      <c r="R4014" t="n">
        <v>0.0346</v>
      </c>
      <c r="S4014">
        <f>IMAGE("https://mitra.stanford.edu/kundaje/oak/projects/neuro-variants/variant_position/credible/roussos_2024/variant_figures/roussos_2024.childhood.Astrocyte/rs7824786_count_position.png",4,220,900)</f>
        <v/>
      </c>
      <c r="T4014">
        <f>IMAGE("https://mitra.stanford.edu/kundaje/oak/projects/neuro-variants/variant_position/credible/roussos_2024/variant_figures/roussos_2024.childhood.Astrocyte/rs7824786_profile_position.png",4,220,900)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-0.0928983424</v>
      </c>
      <c r="G4015" t="n">
        <v>0.08045473669705169</v>
      </c>
      <c r="H4015" t="n">
        <v>0.0121476445994787</v>
      </c>
      <c r="I4015" t="n">
        <v>0.4975525631198563</v>
      </c>
      <c r="J4015" t="n">
        <v>0.3972643936097945</v>
      </c>
      <c r="K4015" t="n">
        <v>0.0879120980714375</v>
      </c>
      <c r="L4015" t="b">
        <v>0</v>
      </c>
      <c r="M4015" t="b">
        <v>0</v>
      </c>
      <c r="N4015" t="inlineStr">
        <is>
          <t>ref</t>
        </is>
      </c>
      <c r="O4015" t="n">
        <v>-100</v>
      </c>
      <c r="P4015" t="n">
        <v>0.02936</v>
      </c>
      <c r="Q4015" t="n">
        <v>-75</v>
      </c>
      <c r="R4015" t="n">
        <v>0.2148</v>
      </c>
      <c r="S4015">
        <f>IMAGE("https://mitra.stanford.edu/kundaje/oak/projects/neuro-variants/variant_position/credible/roussos_2024/variant_figures/roussos_2024.childhood.Astrocyte/rs11996840_count_position.png",4,220,900)</f>
        <v/>
      </c>
      <c r="T4015">
        <f>IMAGE("https://mitra.stanford.edu/kundaje/oak/projects/neuro-variants/variant_position/credible/roussos_2024/variant_figures/roussos_2024.childhood.Astrocyte/rs11996840_profile_position.png",4,220,900)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0.0550137698</v>
      </c>
      <c r="G4016" t="n">
        <v>0.1879091465580935</v>
      </c>
      <c r="H4016" t="n">
        <v>0.0088779661272218</v>
      </c>
      <c r="I4016" t="n">
        <v>0.7789468936747737</v>
      </c>
      <c r="J4016" t="n">
        <v>0.0374039217482234</v>
      </c>
      <c r="K4016" t="n">
        <v>0.5028006132629967</v>
      </c>
      <c r="L4016" t="b">
        <v>0</v>
      </c>
      <c r="M4016" t="b">
        <v>0</v>
      </c>
      <c r="N4016" t="inlineStr">
        <is>
          <t>alt</t>
        </is>
      </c>
      <c r="O4016" t="n">
        <v>-85</v>
      </c>
      <c r="P4016" t="n">
        <v>0.02145</v>
      </c>
      <c r="Q4016" t="n">
        <v>30</v>
      </c>
      <c r="R4016" t="n">
        <v>0.02844</v>
      </c>
      <c r="S4016">
        <f>IMAGE("https://mitra.stanford.edu/kundaje/oak/projects/neuro-variants/variant_position/credible/roussos_2024/variant_figures/roussos_2024.childhood.Astrocyte/rs117423761_count_position.png",4,220,900)</f>
        <v/>
      </c>
      <c r="T4016">
        <f>IMAGE("https://mitra.stanford.edu/kundaje/oak/projects/neuro-variants/variant_position/credible/roussos_2024/variant_figures/roussos_2024.childhood.Astrocyte/rs117423761_profile_position.png",4,220,900)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0.00188415844</v>
      </c>
      <c r="G4017" t="n">
        <v>0.6862628201342227</v>
      </c>
      <c r="H4017" t="n">
        <v>0.0115292122221496</v>
      </c>
      <c r="I4017" t="n">
        <v>0.5597890759652567</v>
      </c>
      <c r="J4017" t="n">
        <v>0.2809675375726073</v>
      </c>
      <c r="K4017" t="n">
        <v>0.1439423611312695</v>
      </c>
      <c r="L4017" t="b">
        <v>0</v>
      </c>
      <c r="M4017" t="b">
        <v>0</v>
      </c>
      <c r="N4017" t="inlineStr">
        <is>
          <t>alt</t>
        </is>
      </c>
      <c r="O4017" t="n">
        <v>-10</v>
      </c>
      <c r="P4017" t="n">
        <v>0.000641</v>
      </c>
      <c r="Q4017" t="n">
        <v>-50</v>
      </c>
      <c r="R4017" t="n">
        <v>0.0717</v>
      </c>
      <c r="S4017">
        <f>IMAGE("https://mitra.stanford.edu/kundaje/oak/projects/neuro-variants/variant_position/credible/roussos_2024/variant_figures/roussos_2024.childhood.Astrocyte/rs11136313_count_position.png",4,220,900)</f>
        <v/>
      </c>
      <c r="T4017">
        <f>IMAGE("https://mitra.stanford.edu/kundaje/oak/projects/neuro-variants/variant_position/credible/roussos_2024/variant_figures/roussos_2024.childhood.Astrocyte/rs11136313_profile_position.png",4,220,900)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0.36356827</v>
      </c>
      <c r="G4018" t="n">
        <v>0.0031235612472325</v>
      </c>
      <c r="H4018" t="n">
        <v>0.0432286510507453</v>
      </c>
      <c r="I4018" t="n">
        <v>0.0073142945138893</v>
      </c>
      <c r="J4018" t="n">
        <v>0.4013884118369931</v>
      </c>
      <c r="K4018" t="n">
        <v>0.08613719689501539</v>
      </c>
      <c r="L4018" t="b">
        <v>1</v>
      </c>
      <c r="M4018" t="b">
        <v>1</v>
      </c>
      <c r="N4018" t="inlineStr">
        <is>
          <t>alt</t>
        </is>
      </c>
      <c r="O4018" t="n">
        <v>-40</v>
      </c>
      <c r="P4018" t="n">
        <v>0.008059999999999999</v>
      </c>
      <c r="Q4018" t="n">
        <v>-20</v>
      </c>
      <c r="R4018" t="n">
        <v>0.06934</v>
      </c>
      <c r="S4018">
        <f>IMAGE("https://mitra.stanford.edu/kundaje/oak/projects/neuro-variants/variant_position/credible/roussos_2024/variant_figures/roussos_2024.childhood.Astrocyte/rs10756010_count_position.png",4,220,900)</f>
        <v/>
      </c>
      <c r="T4018">
        <f>IMAGE("https://mitra.stanford.edu/kundaje/oak/projects/neuro-variants/variant_position/credible/roussos_2024/variant_figures/roussos_2024.childhood.Astrocyte/rs10756010_profile_position.png",4,220,900)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-0.0700041876</v>
      </c>
      <c r="G4019" t="n">
        <v>0.1589435905024318</v>
      </c>
      <c r="H4019" t="n">
        <v>0.0342528212647945</v>
      </c>
      <c r="I4019" t="n">
        <v>0.0177497049438713</v>
      </c>
      <c r="J4019" t="n">
        <v>0.2698075763473854</v>
      </c>
      <c r="K4019" t="n">
        <v>0.1492319789838438</v>
      </c>
      <c r="L4019" t="b">
        <v>1</v>
      </c>
      <c r="M4019" t="b">
        <v>0</v>
      </c>
      <c r="N4019" t="inlineStr">
        <is>
          <t>ref</t>
        </is>
      </c>
      <c r="O4019" t="n">
        <v>-85</v>
      </c>
      <c r="P4019" t="n">
        <v>0.01169</v>
      </c>
      <c r="Q4019" t="n">
        <v>-25</v>
      </c>
      <c r="R4019" t="n">
        <v>0.0747</v>
      </c>
      <c r="S4019">
        <f>IMAGE("https://mitra.stanford.edu/kundaje/oak/projects/neuro-variants/variant_position/credible/roussos_2024/variant_figures/roussos_2024.childhood.Astrocyte/rs10958968_count_position.png",4,220,900)</f>
        <v/>
      </c>
      <c r="T4019">
        <f>IMAGE("https://mitra.stanford.edu/kundaje/oak/projects/neuro-variants/variant_position/credible/roussos_2024/variant_figures/roussos_2024.childhood.Astrocyte/rs10958968_profile_position.png",4,220,900)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-0.0568204469999999</v>
      </c>
      <c r="G4020" t="n">
        <v>0.1852164150697417</v>
      </c>
      <c r="H4020" t="n">
        <v>0.0337505956147199</v>
      </c>
      <c r="I4020" t="n">
        <v>0.0187147826140076</v>
      </c>
      <c r="J4020" t="n">
        <v>0.0013281124773876</v>
      </c>
      <c r="K4020" t="n">
        <v>0.8946105606026682</v>
      </c>
      <c r="L4020" t="b">
        <v>0</v>
      </c>
      <c r="M4020" t="b">
        <v>0</v>
      </c>
      <c r="N4020" t="inlineStr">
        <is>
          <t>ref</t>
        </is>
      </c>
      <c r="O4020" t="n">
        <v>20</v>
      </c>
      <c r="P4020" t="n">
        <v>0.000702</v>
      </c>
      <c r="Q4020" t="n">
        <v>0</v>
      </c>
      <c r="R4020" t="n">
        <v>0</v>
      </c>
      <c r="S4020">
        <f>IMAGE("https://mitra.stanford.edu/kundaje/oak/projects/neuro-variants/variant_position/credible/roussos_2024/variant_figures/roussos_2024.childhood.Astrocyte/rs12237121_count_position.png",4,220,900)</f>
        <v/>
      </c>
      <c r="T4020">
        <f>IMAGE("https://mitra.stanford.edu/kundaje/oak/projects/neuro-variants/variant_position/credible/roussos_2024/variant_figures/roussos_2024.childhood.Astrocyte/rs12237121_profile_position.png",4,220,900)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0.0947313088</v>
      </c>
      <c r="G4021" t="n">
        <v>0.0921471013718929</v>
      </c>
      <c r="H4021" t="n">
        <v>0.0295486729896317</v>
      </c>
      <c r="I4021" t="n">
        <v>0.0311835944596981</v>
      </c>
      <c r="J4021" t="n">
        <v>0.0037599322204666</v>
      </c>
      <c r="K4021" t="n">
        <v>0.8099536437936922</v>
      </c>
      <c r="L4021" t="b">
        <v>0</v>
      </c>
      <c r="M4021" t="b">
        <v>0</v>
      </c>
      <c r="N4021" t="inlineStr">
        <is>
          <t>alt</t>
        </is>
      </c>
      <c r="O4021" t="n">
        <v>-90</v>
      </c>
      <c r="P4021" t="n">
        <v>0.005913</v>
      </c>
      <c r="Q4021" t="n">
        <v>100</v>
      </c>
      <c r="R4021" t="n">
        <v>0.0799</v>
      </c>
      <c r="S4021">
        <f>IMAGE("https://mitra.stanford.edu/kundaje/oak/projects/neuro-variants/variant_position/credible/roussos_2024/variant_figures/roussos_2024.childhood.Astrocyte/rs7032426_count_position.png",4,220,900)</f>
        <v/>
      </c>
      <c r="T4021">
        <f>IMAGE("https://mitra.stanford.edu/kundaje/oak/projects/neuro-variants/variant_position/credible/roussos_2024/variant_figures/roussos_2024.childhood.Astrocyte/rs7032426_profile_position.png",4,220,900)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0.02567470578</v>
      </c>
      <c r="G4022" t="n">
        <v>0.4409027411620154</v>
      </c>
      <c r="H4022" t="n">
        <v>0.028122284634637</v>
      </c>
      <c r="I4022" t="n">
        <v>0.0382824030440443</v>
      </c>
      <c r="J4022" t="n">
        <v>0.0008770122048956</v>
      </c>
      <c r="K4022" t="n">
        <v>0.9291807354666466</v>
      </c>
      <c r="L4022" t="b">
        <v>0</v>
      </c>
      <c r="M4022" t="b">
        <v>0</v>
      </c>
      <c r="N4022" t="inlineStr">
        <is>
          <t>alt</t>
        </is>
      </c>
      <c r="O4022" t="n">
        <v>-35</v>
      </c>
      <c r="P4022" t="n">
        <v>0.006714</v>
      </c>
      <c r="Q4022" t="n">
        <v>60</v>
      </c>
      <c r="R4022" t="n">
        <v>0.0326</v>
      </c>
      <c r="S4022">
        <f>IMAGE("https://mitra.stanford.edu/kundaje/oak/projects/neuro-variants/variant_position/credible/roussos_2024/variant_figures/roussos_2024.childhood.Astrocyte/rs1322146_count_position.png",4,220,900)</f>
        <v/>
      </c>
      <c r="T4022">
        <f>IMAGE("https://mitra.stanford.edu/kundaje/oak/projects/neuro-variants/variant_position/credible/roussos_2024/variant_figures/roussos_2024.childhood.Astrocyte/rs1322146_profile_position.png",4,220,900)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-0.0282806675999999</v>
      </c>
      <c r="G4023" t="n">
        <v>0.4159701861923675</v>
      </c>
      <c r="H4023" t="n">
        <v>0.0114559606790789</v>
      </c>
      <c r="I4023" t="n">
        <v>0.5716403479084197</v>
      </c>
      <c r="J4023" t="n">
        <v>0.021281094242556</v>
      </c>
      <c r="K4023" t="n">
        <v>0.6232617632763183</v>
      </c>
      <c r="L4023" t="b">
        <v>0</v>
      </c>
      <c r="M4023" t="b">
        <v>0</v>
      </c>
      <c r="N4023" t="inlineStr">
        <is>
          <t>ref</t>
        </is>
      </c>
      <c r="O4023" t="n">
        <v>-65</v>
      </c>
      <c r="P4023" t="n">
        <v>0.004692</v>
      </c>
      <c r="Q4023" t="n">
        <v>100</v>
      </c>
      <c r="R4023" t="n">
        <v>0.2373</v>
      </c>
      <c r="S4023">
        <f>IMAGE("https://mitra.stanford.edu/kundaje/oak/projects/neuro-variants/variant_position/credible/roussos_2024/variant_figures/roussos_2024.childhood.Astrocyte/rs686870_count_position.png",4,220,900)</f>
        <v/>
      </c>
      <c r="T4023">
        <f>IMAGE("https://mitra.stanford.edu/kundaje/oak/projects/neuro-variants/variant_position/credible/roussos_2024/variant_figures/roussos_2024.childhood.Astrocyte/rs686870_profile_position.png",4,220,900)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-0.002925844584</v>
      </c>
      <c r="G4024" t="n">
        <v>0.8297040435220446</v>
      </c>
      <c r="H4024" t="n">
        <v>0.0083683143982686</v>
      </c>
      <c r="I4024" t="n">
        <v>0.8736155123240215</v>
      </c>
      <c r="J4024" t="n">
        <v>0.1633181440009769</v>
      </c>
      <c r="K4024" t="n">
        <v>0.2387167040714087</v>
      </c>
      <c r="L4024" t="b">
        <v>0</v>
      </c>
      <c r="M4024" t="b">
        <v>0</v>
      </c>
      <c r="N4024" t="inlineStr">
        <is>
          <t>ref</t>
        </is>
      </c>
      <c r="O4024" t="n">
        <v>-100</v>
      </c>
      <c r="P4024" t="n">
        <v>0.02768</v>
      </c>
      <c r="Q4024" t="n">
        <v>-100</v>
      </c>
      <c r="R4024" t="n">
        <v>0.6274</v>
      </c>
      <c r="S4024">
        <f>IMAGE("https://mitra.stanford.edu/kundaje/oak/projects/neuro-variants/variant_position/credible/roussos_2024/variant_figures/roussos_2024.childhood.Astrocyte/rs1434479_count_position.png",4,220,900)</f>
        <v/>
      </c>
      <c r="T4024">
        <f>IMAGE("https://mitra.stanford.edu/kundaje/oak/projects/neuro-variants/variant_position/credible/roussos_2024/variant_figures/roussos_2024.childhood.Astrocyte/rs1434479_profile_position.png",4,220,900)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0.10711248</v>
      </c>
      <c r="G4025" t="n">
        <v>0.0638893837591379</v>
      </c>
      <c r="H4025" t="n">
        <v>0.0187479870737202</v>
      </c>
      <c r="I4025" t="n">
        <v>0.1630729498083513</v>
      </c>
      <c r="J4025" t="n">
        <v>0.0383832138795386</v>
      </c>
      <c r="K4025" t="n">
        <v>0.4898270386282328</v>
      </c>
      <c r="L4025" t="b">
        <v>0</v>
      </c>
      <c r="M4025" t="b">
        <v>0</v>
      </c>
      <c r="N4025" t="inlineStr">
        <is>
          <t>alt</t>
        </is>
      </c>
      <c r="O4025" t="n">
        <v>-80</v>
      </c>
      <c r="P4025" t="n">
        <v>0.02374</v>
      </c>
      <c r="Q4025" t="n">
        <v>-95</v>
      </c>
      <c r="R4025" t="n">
        <v>0.1177</v>
      </c>
      <c r="S4025">
        <f>IMAGE("https://mitra.stanford.edu/kundaje/oak/projects/neuro-variants/variant_position/credible/roussos_2024/variant_figures/roussos_2024.childhood.Astrocyte/rs10967473_count_position.png",4,220,900)</f>
        <v/>
      </c>
      <c r="T4025">
        <f>IMAGE("https://mitra.stanford.edu/kundaje/oak/projects/neuro-variants/variant_position/credible/roussos_2024/variant_figures/roussos_2024.childhood.Astrocyte/rs10967473_profile_position.png",4,220,900)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0.141834454</v>
      </c>
      <c r="G4026" t="n">
        <v>0.03598814425885</v>
      </c>
      <c r="H4026" t="n">
        <v>0.0188957698641622</v>
      </c>
      <c r="I4026" t="n">
        <v>0.1568527935904387</v>
      </c>
      <c r="J4026" t="n">
        <v>0.022844297894102</v>
      </c>
      <c r="K4026" t="n">
        <v>0.5909023980438923</v>
      </c>
      <c r="L4026" t="b">
        <v>0</v>
      </c>
      <c r="M4026" t="b">
        <v>0</v>
      </c>
      <c r="N4026" t="inlineStr">
        <is>
          <t>alt</t>
        </is>
      </c>
      <c r="O4026" t="n">
        <v>40</v>
      </c>
      <c r="P4026" t="n">
        <v>0.007545</v>
      </c>
      <c r="Q4026" t="n">
        <v>65</v>
      </c>
      <c r="R4026" t="n">
        <v>0.1769</v>
      </c>
      <c r="S4026">
        <f>IMAGE("https://mitra.stanford.edu/kundaje/oak/projects/neuro-variants/variant_position/credible/roussos_2024/variant_figures/roussos_2024.childhood.Astrocyte/rs7865569_count_position.png",4,220,900)</f>
        <v/>
      </c>
      <c r="T4026">
        <f>IMAGE("https://mitra.stanford.edu/kundaje/oak/projects/neuro-variants/variant_position/credible/roussos_2024/variant_figures/roussos_2024.childhood.Astrocyte/rs7865569_profile_position.png",4,220,900)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-0.131394335</v>
      </c>
      <c r="G4027" t="n">
        <v>0.0498587352000765</v>
      </c>
      <c r="H4027" t="n">
        <v>0.0216543261785874</v>
      </c>
      <c r="I4027" t="n">
        <v>0.0970071868267402</v>
      </c>
      <c r="J4027" t="n">
        <v>0.0020455985283902</v>
      </c>
      <c r="K4027" t="n">
        <v>0.8588203406573264</v>
      </c>
      <c r="L4027" t="b">
        <v>0</v>
      </c>
      <c r="M4027" t="b">
        <v>0</v>
      </c>
      <c r="N4027" t="inlineStr">
        <is>
          <t>ref</t>
        </is>
      </c>
      <c r="O4027" t="n">
        <v>-50</v>
      </c>
      <c r="P4027" t="n">
        <v>0.013176</v>
      </c>
      <c r="Q4027" t="n">
        <v>-60</v>
      </c>
      <c r="R4027" t="n">
        <v>0.0926</v>
      </c>
      <c r="S4027">
        <f>IMAGE("https://mitra.stanford.edu/kundaje/oak/projects/neuro-variants/variant_position/credible/roussos_2024/variant_figures/roussos_2024.childhood.Astrocyte/rs10972866_count_position.png",4,220,900)</f>
        <v/>
      </c>
      <c r="T4027">
        <f>IMAGE("https://mitra.stanford.edu/kundaje/oak/projects/neuro-variants/variant_position/credible/roussos_2024/variant_figures/roussos_2024.childhood.Astrocyte/rs10972866_profile_position.png",4,220,900)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-0.197479628</v>
      </c>
      <c r="G4028" t="n">
        <v>0.0198992190687655</v>
      </c>
      <c r="H4028" t="n">
        <v>0.0409993372013983</v>
      </c>
      <c r="I4028" t="n">
        <v>0.0088032550962358</v>
      </c>
      <c r="J4028" t="n">
        <v>0.0600016792226725</v>
      </c>
      <c r="K4028" t="n">
        <v>0.4162717773068621</v>
      </c>
      <c r="L4028" t="b">
        <v>1</v>
      </c>
      <c r="M4028" t="b">
        <v>1</v>
      </c>
      <c r="N4028" t="inlineStr">
        <is>
          <t>ref</t>
        </is>
      </c>
      <c r="O4028" t="n">
        <v>-5</v>
      </c>
      <c r="P4028" t="n">
        <v>0.0002441</v>
      </c>
      <c r="Q4028" t="n">
        <v>30</v>
      </c>
      <c r="R4028" t="n">
        <v>0.01563</v>
      </c>
      <c r="S4028">
        <f>IMAGE("https://mitra.stanford.edu/kundaje/oak/projects/neuro-variants/variant_position/credible/roussos_2024/variant_figures/roussos_2024.childhood.Astrocyte/rs4144593_count_position.png",4,220,900)</f>
        <v/>
      </c>
      <c r="T4028">
        <f>IMAGE("https://mitra.stanford.edu/kundaje/oak/projects/neuro-variants/variant_position/credible/roussos_2024/variant_figures/roussos_2024.childhood.Astrocyte/rs4144593_profile_position.png",4,220,900)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-0.21596302</v>
      </c>
      <c r="G4029" t="n">
        <v>0.0168349276576108</v>
      </c>
      <c r="H4029" t="n">
        <v>0.0324843059339662</v>
      </c>
      <c r="I4029" t="n">
        <v>0.0236357977637973</v>
      </c>
      <c r="J4029" t="n">
        <v>0.0557547724271636</v>
      </c>
      <c r="K4029" t="n">
        <v>0.4225394929780233</v>
      </c>
      <c r="L4029" t="b">
        <v>1</v>
      </c>
      <c r="M4029" t="b">
        <v>0</v>
      </c>
      <c r="N4029" t="inlineStr">
        <is>
          <t>ref</t>
        </is>
      </c>
      <c r="O4029" t="n">
        <v>10</v>
      </c>
      <c r="P4029" t="n">
        <v>0.002808</v>
      </c>
      <c r="Q4029" t="n">
        <v>50</v>
      </c>
      <c r="R4029" t="n">
        <v>0.0659</v>
      </c>
      <c r="S4029">
        <f>IMAGE("https://mitra.stanford.edu/kundaje/oak/projects/neuro-variants/variant_position/credible/roussos_2024/variant_figures/roussos_2024.childhood.Astrocyte/rs10814385_count_position.png",4,220,900)</f>
        <v/>
      </c>
      <c r="T4029">
        <f>IMAGE("https://mitra.stanford.edu/kundaje/oak/projects/neuro-variants/variant_position/credible/roussos_2024/variant_figures/roussos_2024.childhood.Astrocyte/rs10814385_profile_position.png",4,220,900)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0.00638426352</v>
      </c>
      <c r="G4030" t="n">
        <v>0.6714512707745383</v>
      </c>
      <c r="H4030" t="n">
        <v>0.0285039910929356</v>
      </c>
      <c r="I4030" t="n">
        <v>0.0359226652898067</v>
      </c>
      <c r="J4030" t="n">
        <v>0.1177562531962476</v>
      </c>
      <c r="K4030" t="n">
        <v>0.2967988736880561</v>
      </c>
      <c r="L4030" t="b">
        <v>0</v>
      </c>
      <c r="M4030" t="b">
        <v>0</v>
      </c>
      <c r="N4030" t="inlineStr">
        <is>
          <t>alt</t>
        </is>
      </c>
      <c r="O4030" t="n">
        <v>-35</v>
      </c>
      <c r="P4030" t="n">
        <v>0.00476</v>
      </c>
      <c r="Q4030" t="n">
        <v>-30</v>
      </c>
      <c r="R4030" t="n">
        <v>0.11176</v>
      </c>
      <c r="S4030">
        <f>IMAGE("https://mitra.stanford.edu/kundaje/oak/projects/neuro-variants/variant_position/credible/roussos_2024/variant_figures/roussos_2024.childhood.Astrocyte/rs2483657_count_position.png",4,220,900)</f>
        <v/>
      </c>
      <c r="T4030">
        <f>IMAGE("https://mitra.stanford.edu/kundaje/oak/projects/neuro-variants/variant_position/credible/roussos_2024/variant_figures/roussos_2024.childhood.Astrocyte/rs2483657_profile_position.png",4,220,900)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-0.0367090598</v>
      </c>
      <c r="G4031" t="n">
        <v>0.3151556221758892</v>
      </c>
      <c r="H4031" t="n">
        <v>0.0515699106166812</v>
      </c>
      <c r="I4031" t="n">
        <v>0.0035716792821249</v>
      </c>
      <c r="J4031" t="n">
        <v>0.0039339607519864</v>
      </c>
      <c r="K4031" t="n">
        <v>0.796436990395938</v>
      </c>
      <c r="L4031" t="b">
        <v>0</v>
      </c>
      <c r="M4031" t="b">
        <v>0</v>
      </c>
      <c r="N4031" t="inlineStr">
        <is>
          <t>ref</t>
        </is>
      </c>
      <c r="O4031" t="n">
        <v>-70</v>
      </c>
      <c r="P4031" t="n">
        <v>0.02228</v>
      </c>
      <c r="Q4031" t="n">
        <v>55</v>
      </c>
      <c r="R4031" t="n">
        <v>0.07495</v>
      </c>
      <c r="S4031">
        <f>IMAGE("https://mitra.stanford.edu/kundaje/oak/projects/neuro-variants/variant_position/credible/roussos_2024/variant_figures/roussos_2024.childhood.Astrocyte/rs4446808_count_position.png",4,220,900)</f>
        <v/>
      </c>
      <c r="T4031">
        <f>IMAGE("https://mitra.stanford.edu/kundaje/oak/projects/neuro-variants/variant_position/credible/roussos_2024/variant_figures/roussos_2024.childhood.Astrocyte/rs4446808_profile_position.png",4,220,900)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-0.0093800809999999</v>
      </c>
      <c r="G4032" t="n">
        <v>0.5978682048908313</v>
      </c>
      <c r="H4032" t="n">
        <v>0.008058620615050799</v>
      </c>
      <c r="I4032" t="n">
        <v>0.8826350823734715</v>
      </c>
      <c r="J4032" t="n">
        <v>0.0273178997504063</v>
      </c>
      <c r="K4032" t="n">
        <v>0.549913349577298</v>
      </c>
      <c r="L4032" t="b">
        <v>0</v>
      </c>
      <c r="M4032" t="b">
        <v>0</v>
      </c>
      <c r="N4032" t="inlineStr">
        <is>
          <t>ref</t>
        </is>
      </c>
      <c r="O4032" t="n">
        <v>95</v>
      </c>
      <c r="P4032" t="n">
        <v>0.01448</v>
      </c>
      <c r="Q4032" t="n">
        <v>95</v>
      </c>
      <c r="R4032" t="n">
        <v>0.1439</v>
      </c>
      <c r="S4032">
        <f>IMAGE("https://mitra.stanford.edu/kundaje/oak/projects/neuro-variants/variant_position/credible/roussos_2024/variant_figures/roussos_2024.childhood.Astrocyte/rs6476556_count_position.png",4,220,900)</f>
        <v/>
      </c>
      <c r="T4032">
        <f>IMAGE("https://mitra.stanford.edu/kundaje/oak/projects/neuro-variants/variant_position/credible/roussos_2024/variant_figures/roussos_2024.childhood.Astrocyte/rs6476556_profile_position.png",4,220,900)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0.0158421842</v>
      </c>
      <c r="G4033" t="n">
        <v>0.2373935766679333</v>
      </c>
      <c r="H4033" t="n">
        <v>0.0118525445997682</v>
      </c>
      <c r="I4033" t="n">
        <v>0.5287121092049122</v>
      </c>
      <c r="J4033" t="n">
        <v>0.0940586048712722</v>
      </c>
      <c r="K4033" t="n">
        <v>0.3500233075455987</v>
      </c>
      <c r="L4033" t="b">
        <v>0</v>
      </c>
      <c r="M4033" t="b">
        <v>0</v>
      </c>
      <c r="N4033" t="inlineStr">
        <is>
          <t>alt</t>
        </is>
      </c>
      <c r="O4033" t="n">
        <v>-85</v>
      </c>
      <c r="P4033" t="n">
        <v>0.01805</v>
      </c>
      <c r="Q4033" t="n">
        <v>-60</v>
      </c>
      <c r="R4033" t="n">
        <v>0.2695</v>
      </c>
      <c r="S4033">
        <f>IMAGE("https://mitra.stanford.edu/kundaje/oak/projects/neuro-variants/variant_position/credible/roussos_2024/variant_figures/roussos_2024.childhood.Astrocyte/rs7856743_count_position.png",4,220,900)</f>
        <v/>
      </c>
      <c r="T4033">
        <f>IMAGE("https://mitra.stanford.edu/kundaje/oak/projects/neuro-variants/variant_position/credible/roussos_2024/variant_figures/roussos_2024.childhood.Astrocyte/rs7856743_profile_position.png",4,220,900)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-0.005694883142</v>
      </c>
      <c r="G4034" t="n">
        <v>0.8340070896996902</v>
      </c>
      <c r="H4034" t="n">
        <v>0.0127814678538103</v>
      </c>
      <c r="I4034" t="n">
        <v>0.4481274001737007</v>
      </c>
      <c r="J4034" t="n">
        <v>0.1438223687725645</v>
      </c>
      <c r="K4034" t="n">
        <v>0.2631217034734606</v>
      </c>
      <c r="L4034" t="b">
        <v>0</v>
      </c>
      <c r="M4034" t="b">
        <v>0</v>
      </c>
      <c r="N4034" t="inlineStr">
        <is>
          <t>ref</t>
        </is>
      </c>
      <c r="O4034" t="n">
        <v>30</v>
      </c>
      <c r="P4034" t="n">
        <v>0.008330000000000001</v>
      </c>
      <c r="Q4034" t="n">
        <v>30</v>
      </c>
      <c r="R4034" t="n">
        <v>0.343</v>
      </c>
      <c r="S4034">
        <f>IMAGE("https://mitra.stanford.edu/kundaje/oak/projects/neuro-variants/variant_position/credible/roussos_2024/variant_figures/roussos_2024.childhood.Astrocyte/rs11138693_count_position.png",4,220,900)</f>
        <v/>
      </c>
      <c r="T4034">
        <f>IMAGE("https://mitra.stanford.edu/kundaje/oak/projects/neuro-variants/variant_position/credible/roussos_2024/variant_figures/roussos_2024.childhood.Astrocyte/rs11138693_profile_position.png",4,220,900)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-0.00136748488</v>
      </c>
      <c r="G4035" t="n">
        <v>0.8598981617505116</v>
      </c>
      <c r="H4035" t="n">
        <v>0.0183149398583311</v>
      </c>
      <c r="I4035" t="n">
        <v>0.1658146995979376</v>
      </c>
      <c r="J4035" t="n">
        <v>0.0563608191553509</v>
      </c>
      <c r="K4035" t="n">
        <v>0.4347419039853086</v>
      </c>
      <c r="L4035" t="b">
        <v>0</v>
      </c>
      <c r="M4035" t="b">
        <v>0</v>
      </c>
      <c r="N4035" t="inlineStr">
        <is>
          <t>ref</t>
        </is>
      </c>
      <c r="O4035" t="n">
        <v>-100</v>
      </c>
      <c r="P4035" t="n">
        <v>0.01097</v>
      </c>
      <c r="Q4035" t="n">
        <v>100</v>
      </c>
      <c r="R4035" t="n">
        <v>0.04144</v>
      </c>
      <c r="S4035">
        <f>IMAGE("https://mitra.stanford.edu/kundaje/oak/projects/neuro-variants/variant_position/credible/roussos_2024/variant_figures/roussos_2024.childhood.Astrocyte/rs10867555_count_position.png",4,220,900)</f>
        <v/>
      </c>
      <c r="T4035">
        <f>IMAGE("https://mitra.stanford.edu/kundaje/oak/projects/neuro-variants/variant_position/credible/roussos_2024/variant_figures/roussos_2024.childhood.Astrocyte/rs10867555_profile_position.png",4,220,900)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-0.041997791</v>
      </c>
      <c r="G4036" t="n">
        <v>0.2927197955506814</v>
      </c>
      <c r="H4036" t="n">
        <v>0.009044133313101501</v>
      </c>
      <c r="I4036" t="n">
        <v>0.8031740062856185</v>
      </c>
      <c r="J4036" t="n">
        <v>0.0109317395983604</v>
      </c>
      <c r="K4036" t="n">
        <v>0.694926387275243</v>
      </c>
      <c r="L4036" t="b">
        <v>0</v>
      </c>
      <c r="M4036" t="b">
        <v>0</v>
      </c>
      <c r="N4036" t="inlineStr">
        <is>
          <t>ref</t>
        </is>
      </c>
      <c r="O4036" t="n">
        <v>95</v>
      </c>
      <c r="P4036" t="n">
        <v>0.02588</v>
      </c>
      <c r="Q4036" t="n">
        <v>85</v>
      </c>
      <c r="R4036" t="n">
        <v>0.1117</v>
      </c>
      <c r="S4036">
        <f>IMAGE("https://mitra.stanford.edu/kundaje/oak/projects/neuro-variants/variant_position/credible/roussos_2024/variant_figures/roussos_2024.childhood.Astrocyte/rs11138702_count_position.png",4,220,900)</f>
        <v/>
      </c>
      <c r="T4036">
        <f>IMAGE("https://mitra.stanford.edu/kundaje/oak/projects/neuro-variants/variant_position/credible/roussos_2024/variant_figures/roussos_2024.childhood.Astrocyte/rs11138702_profile_position.png",4,220,900)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-0.0339757722</v>
      </c>
      <c r="G4037" t="n">
        <v>0.3559248317842157</v>
      </c>
      <c r="H4037" t="n">
        <v>0.0122362301862791</v>
      </c>
      <c r="I4037" t="n">
        <v>0.4986319309946237</v>
      </c>
      <c r="J4037" t="n">
        <v>0.0833611931640371</v>
      </c>
      <c r="K4037" t="n">
        <v>0.3699049959187194</v>
      </c>
      <c r="L4037" t="b">
        <v>0</v>
      </c>
      <c r="M4037" t="b">
        <v>0</v>
      </c>
      <c r="N4037" t="inlineStr">
        <is>
          <t>ref</t>
        </is>
      </c>
      <c r="O4037" t="n">
        <v>-100</v>
      </c>
      <c r="P4037" t="n">
        <v>0.006836</v>
      </c>
      <c r="Q4037" t="n">
        <v>0</v>
      </c>
      <c r="R4037" t="n">
        <v>0</v>
      </c>
      <c r="S4037">
        <f>IMAGE("https://mitra.stanford.edu/kundaje/oak/projects/neuro-variants/variant_position/credible/roussos_2024/variant_figures/roussos_2024.childhood.Astrocyte/rs145585805_count_position.png",4,220,900)</f>
        <v/>
      </c>
      <c r="T4037">
        <f>IMAGE("https://mitra.stanford.edu/kundaje/oak/projects/neuro-variants/variant_position/credible/roussos_2024/variant_figures/roussos_2024.childhood.Astrocyte/rs145585805_profile_position.png",4,220,900)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-0.0110630032</v>
      </c>
      <c r="G4038" t="n">
        <v>0.4586732860385853</v>
      </c>
      <c r="H4038" t="n">
        <v>0.0196229713602836</v>
      </c>
      <c r="I4038" t="n">
        <v>0.1336261295248713</v>
      </c>
      <c r="J4038" t="n">
        <v>0.0285322830558798</v>
      </c>
      <c r="K4038" t="n">
        <v>0.5351095839163321</v>
      </c>
      <c r="L4038" t="b">
        <v>0</v>
      </c>
      <c r="M4038" t="b">
        <v>0</v>
      </c>
      <c r="N4038" t="inlineStr">
        <is>
          <t>ref</t>
        </is>
      </c>
      <c r="O4038" t="n">
        <v>-100</v>
      </c>
      <c r="P4038" t="n">
        <v>0.009820000000000001</v>
      </c>
      <c r="Q4038" t="n">
        <v>100</v>
      </c>
      <c r="R4038" t="n">
        <v>0.06128</v>
      </c>
      <c r="S4038">
        <f>IMAGE("https://mitra.stanford.edu/kundaje/oak/projects/neuro-variants/variant_position/credible/roussos_2024/variant_figures/roussos_2024.childhood.Astrocyte/rs7853639_count_position.png",4,220,900)</f>
        <v/>
      </c>
      <c r="T4038">
        <f>IMAGE("https://mitra.stanford.edu/kundaje/oak/projects/neuro-variants/variant_position/credible/roussos_2024/variant_figures/roussos_2024.childhood.Astrocyte/rs7853639_profile_position.png",4,220,900)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-0.087872618</v>
      </c>
      <c r="G4039" t="n">
        <v>0.0995161320728636</v>
      </c>
      <c r="H4039" t="n">
        <v>0.017342511990338</v>
      </c>
      <c r="I4039" t="n">
        <v>0.1974122302190861</v>
      </c>
      <c r="J4039" t="n">
        <v>0.0232801325059344</v>
      </c>
      <c r="K4039" t="n">
        <v>0.5799108589199891</v>
      </c>
      <c r="L4039" t="b">
        <v>0</v>
      </c>
      <c r="M4039" t="b">
        <v>0</v>
      </c>
      <c r="N4039" t="inlineStr">
        <is>
          <t>ref</t>
        </is>
      </c>
      <c r="O4039" t="n">
        <v>60</v>
      </c>
      <c r="P4039" t="n">
        <v>0.013084</v>
      </c>
      <c r="Q4039" t="n">
        <v>-65</v>
      </c>
      <c r="R4039" t="n">
        <v>0.04993</v>
      </c>
      <c r="S4039">
        <f>IMAGE("https://mitra.stanford.edu/kundaje/oak/projects/neuro-variants/variant_position/credible/roussos_2024/variant_figures/roussos_2024.childhood.Astrocyte/rs11139500_count_position.png",4,220,900)</f>
        <v/>
      </c>
      <c r="T4039">
        <f>IMAGE("https://mitra.stanford.edu/kundaje/oak/projects/neuro-variants/variant_position/credible/roussos_2024/variant_figures/roussos_2024.childhood.Astrocyte/rs11139500_profile_position.png",4,220,900)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0.1244000691999999</v>
      </c>
      <c r="G4040" t="n">
        <v>0.0547568421033153</v>
      </c>
      <c r="H4040" t="n">
        <v>0.0189811562315707</v>
      </c>
      <c r="I4040" t="n">
        <v>0.1597761031055314</v>
      </c>
      <c r="J4040" t="n">
        <v>0.09941303534763719</v>
      </c>
      <c r="K4040" t="n">
        <v>0.3299573708007165</v>
      </c>
      <c r="L4040" t="b">
        <v>0</v>
      </c>
      <c r="M4040" t="b">
        <v>0</v>
      </c>
      <c r="N4040" t="inlineStr">
        <is>
          <t>alt</t>
        </is>
      </c>
      <c r="O4040" t="n">
        <v>-30</v>
      </c>
      <c r="P4040" t="n">
        <v>0.0213</v>
      </c>
      <c r="Q4040" t="n">
        <v>65</v>
      </c>
      <c r="R4040" t="n">
        <v>0.07666000000000001</v>
      </c>
      <c r="S4040">
        <f>IMAGE("https://mitra.stanford.edu/kundaje/oak/projects/neuro-variants/variant_position/credible/roussos_2024/variant_figures/roussos_2024.childhood.Astrocyte/rs1409880_count_position.png",4,220,900)</f>
        <v/>
      </c>
      <c r="T4040">
        <f>IMAGE("https://mitra.stanford.edu/kundaje/oak/projects/neuro-variants/variant_position/credible/roussos_2024/variant_figures/roussos_2024.childhood.Astrocyte/rs1409880_profile_position.png",4,220,900)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-0.118144764</v>
      </c>
      <c r="G4041" t="n">
        <v>0.0509008215490338</v>
      </c>
      <c r="H4041" t="n">
        <v>0.0196574959505455</v>
      </c>
      <c r="I4041" t="n">
        <v>0.1375661529272744</v>
      </c>
      <c r="J4041" t="n">
        <v>0.022186347919672</v>
      </c>
      <c r="K4041" t="n">
        <v>0.5718793064668937</v>
      </c>
      <c r="L4041" t="b">
        <v>0</v>
      </c>
      <c r="M4041" t="b">
        <v>0</v>
      </c>
      <c r="N4041" t="inlineStr">
        <is>
          <t>ref</t>
        </is>
      </c>
      <c r="O4041" t="n">
        <v>55</v>
      </c>
      <c r="P4041" t="n">
        <v>0.02942</v>
      </c>
      <c r="Q4041" t="n">
        <v>70</v>
      </c>
      <c r="R4041" t="n">
        <v>0.1599</v>
      </c>
      <c r="S4041">
        <f>IMAGE("https://mitra.stanford.edu/kundaje/oak/projects/neuro-variants/variant_position/credible/roussos_2024/variant_figures/roussos_2024.childhood.Astrocyte/rs2788116_count_position.png",4,220,900)</f>
        <v/>
      </c>
      <c r="T4041">
        <f>IMAGE("https://mitra.stanford.edu/kundaje/oak/projects/neuro-variants/variant_position/credible/roussos_2024/variant_figures/roussos_2024.childhood.Astrocyte/rs2788116_profile_position.png",4,220,900)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0.0759680344</v>
      </c>
      <c r="G4042" t="n">
        <v>0.1132659716172014</v>
      </c>
      <c r="H4042" t="n">
        <v>0.0179113039546688</v>
      </c>
      <c r="I4042" t="n">
        <v>0.1814809103869379</v>
      </c>
      <c r="J4042" t="n">
        <v>0.0071076916031232</v>
      </c>
      <c r="K4042" t="n">
        <v>0.7810053569994807</v>
      </c>
      <c r="L4042" t="b">
        <v>0</v>
      </c>
      <c r="M4042" t="b">
        <v>0</v>
      </c>
      <c r="N4042" t="inlineStr">
        <is>
          <t>alt</t>
        </is>
      </c>
      <c r="O4042" t="n">
        <v>-80</v>
      </c>
      <c r="P4042" t="n">
        <v>0.003597</v>
      </c>
      <c r="Q4042" t="n">
        <v>-75</v>
      </c>
      <c r="R4042" t="n">
        <v>0.1545</v>
      </c>
      <c r="S4042">
        <f>IMAGE("https://mitra.stanford.edu/kundaje/oak/projects/neuro-variants/variant_position/credible/roussos_2024/variant_figures/roussos_2024.childhood.Astrocyte/rs2767717_count_position.png",4,220,900)</f>
        <v/>
      </c>
      <c r="T4042">
        <f>IMAGE("https://mitra.stanford.edu/kundaje/oak/projects/neuro-variants/variant_position/credible/roussos_2024/variant_figures/roussos_2024.childhood.Astrocyte/rs2767717_profile_position.png",4,220,900)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-0.01902319536</v>
      </c>
      <c r="G4043" t="n">
        <v>0.5535787595669842</v>
      </c>
      <c r="H4043" t="n">
        <v>0.015298196070392</v>
      </c>
      <c r="I4043" t="n">
        <v>0.2821016487554864</v>
      </c>
      <c r="J4043" t="n">
        <v>0.0001099127567493</v>
      </c>
      <c r="K4043" t="n">
        <v>0.9865760057059916</v>
      </c>
      <c r="L4043" t="b">
        <v>0</v>
      </c>
      <c r="M4043" t="b">
        <v>0</v>
      </c>
      <c r="N4043" t="inlineStr">
        <is>
          <t>ref</t>
        </is>
      </c>
      <c r="O4043" t="n">
        <v>100</v>
      </c>
      <c r="P4043" t="n">
        <v>0.0081</v>
      </c>
      <c r="Q4043" t="n">
        <v>-10</v>
      </c>
      <c r="R4043" t="n">
        <v>0.00409</v>
      </c>
      <c r="S4043">
        <f>IMAGE("https://mitra.stanford.edu/kundaje/oak/projects/neuro-variants/variant_position/credible/roussos_2024/variant_figures/roussos_2024.childhood.Astrocyte/rs2767715_count_position.png",4,220,900)</f>
        <v/>
      </c>
      <c r="T4043">
        <f>IMAGE("https://mitra.stanford.edu/kundaje/oak/projects/neuro-variants/variant_position/credible/roussos_2024/variant_figures/roussos_2024.childhood.Astrocyte/rs2767715_profile_position.png",4,220,900)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0.0246583284</v>
      </c>
      <c r="G4044" t="n">
        <v>0.4507342136758197</v>
      </c>
      <c r="H4044" t="n">
        <v>0.0081742563436856</v>
      </c>
      <c r="I4044" t="n">
        <v>0.8776610074187883</v>
      </c>
      <c r="J4044" t="n">
        <v>0.0202056284490851</v>
      </c>
      <c r="K4044" t="n">
        <v>0.588445962246618</v>
      </c>
      <c r="L4044" t="b">
        <v>0</v>
      </c>
      <c r="M4044" t="b">
        <v>0</v>
      </c>
      <c r="N4044" t="inlineStr">
        <is>
          <t>alt</t>
        </is>
      </c>
      <c r="O4044" t="n">
        <v>-40</v>
      </c>
      <c r="P4044" t="n">
        <v>0.01645</v>
      </c>
      <c r="Q4044" t="n">
        <v>-70</v>
      </c>
      <c r="R4044" t="n">
        <v>0.2161</v>
      </c>
      <c r="S4044">
        <f>IMAGE("https://mitra.stanford.edu/kundaje/oak/projects/neuro-variants/variant_position/credible/roussos_2024/variant_figures/roussos_2024.childhood.Astrocyte/rs2767713_count_position.png",4,220,900)</f>
        <v/>
      </c>
      <c r="T4044">
        <f>IMAGE("https://mitra.stanford.edu/kundaje/oak/projects/neuro-variants/variant_position/credible/roussos_2024/variant_figures/roussos_2024.childhood.Astrocyte/rs2767713_profile_position.png",4,220,900)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-0.01315525618</v>
      </c>
      <c r="G4045" t="n">
        <v>0.4574809291197963</v>
      </c>
      <c r="H4045" t="n">
        <v>0.0096762937877017</v>
      </c>
      <c r="I4045" t="n">
        <v>0.7318182735771448</v>
      </c>
      <c r="J4045" t="n">
        <v>0.0034408799126803</v>
      </c>
      <c r="K4045" t="n">
        <v>0.8153894859571654</v>
      </c>
      <c r="L4045" t="b">
        <v>0</v>
      </c>
      <c r="M4045" t="b">
        <v>0</v>
      </c>
      <c r="N4045" t="inlineStr">
        <is>
          <t>ref</t>
        </is>
      </c>
      <c r="O4045" t="n">
        <v>100</v>
      </c>
      <c r="P4045" t="n">
        <v>0.005394</v>
      </c>
      <c r="Q4045" t="n">
        <v>0</v>
      </c>
      <c r="R4045" t="n">
        <v>0</v>
      </c>
      <c r="S4045">
        <f>IMAGE("https://mitra.stanford.edu/kundaje/oak/projects/neuro-variants/variant_position/credible/roussos_2024/variant_figures/roussos_2024.childhood.Astrocyte/rs1933580_count_position.png",4,220,900)</f>
        <v/>
      </c>
      <c r="T4045">
        <f>IMAGE("https://mitra.stanford.edu/kundaje/oak/projects/neuro-variants/variant_position/credible/roussos_2024/variant_figures/roussos_2024.childhood.Astrocyte/rs1933580_profile_position.png",4,220,900)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0.0147416533</v>
      </c>
      <c r="G4046" t="n">
        <v>0.6143717698658901</v>
      </c>
      <c r="H4046" t="n">
        <v>0.0148334442345086</v>
      </c>
      <c r="I4046" t="n">
        <v>0.3066832596962084</v>
      </c>
      <c r="J4046" t="n">
        <v>0.0002060864189049</v>
      </c>
      <c r="K4046" t="n">
        <v>0.9740187685090104</v>
      </c>
      <c r="L4046" t="b">
        <v>0</v>
      </c>
      <c r="M4046" t="b">
        <v>0</v>
      </c>
      <c r="N4046" t="inlineStr">
        <is>
          <t>alt</t>
        </is>
      </c>
      <c r="O4046" t="n">
        <v>-75</v>
      </c>
      <c r="P4046" t="n">
        <v>0.003714</v>
      </c>
      <c r="Q4046" t="n">
        <v>40</v>
      </c>
      <c r="R4046" t="n">
        <v>0.0383</v>
      </c>
      <c r="S4046">
        <f>IMAGE("https://mitra.stanford.edu/kundaje/oak/projects/neuro-variants/variant_position/credible/roussos_2024/variant_figures/roussos_2024.childhood.Astrocyte/rs1330834_count_position.png",4,220,900)</f>
        <v/>
      </c>
      <c r="T4046">
        <f>IMAGE("https://mitra.stanford.edu/kundaje/oak/projects/neuro-variants/variant_position/credible/roussos_2024/variant_figures/roussos_2024.childhood.Astrocyte/rs1330834_profile_position.png",4,220,900)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0.042730237</v>
      </c>
      <c r="G4047" t="n">
        <v>0.221363030636164</v>
      </c>
      <c r="H4047" t="n">
        <v>0.0101592570720794</v>
      </c>
      <c r="I4047" t="n">
        <v>0.7050311064860051</v>
      </c>
      <c r="J4047" t="n">
        <v>0.0290047552532954</v>
      </c>
      <c r="K4047" t="n">
        <v>0.543070263674047</v>
      </c>
      <c r="L4047" t="b">
        <v>0</v>
      </c>
      <c r="M4047" t="b">
        <v>0</v>
      </c>
      <c r="N4047" t="inlineStr">
        <is>
          <t>alt</t>
        </is>
      </c>
      <c r="O4047" t="n">
        <v>0</v>
      </c>
      <c r="P4047" t="n">
        <v>0</v>
      </c>
      <c r="Q4047" t="n">
        <v>70</v>
      </c>
      <c r="R4047" t="n">
        <v>0.0547</v>
      </c>
      <c r="S4047">
        <f>IMAGE("https://mitra.stanford.edu/kundaje/oak/projects/neuro-variants/variant_position/credible/roussos_2024/variant_figures/roussos_2024.childhood.Astrocyte/rs4877231_count_position.png",4,220,900)</f>
        <v/>
      </c>
      <c r="T4047">
        <f>IMAGE("https://mitra.stanford.edu/kundaje/oak/projects/neuro-variants/variant_position/credible/roussos_2024/variant_figures/roussos_2024.childhood.Astrocyte/rs4877231_profile_position.png",4,220,900)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-0.0117269296152</v>
      </c>
      <c r="G4048" t="n">
        <v>0.6977093688572041</v>
      </c>
      <c r="H4048" t="n">
        <v>0.009291343460422199</v>
      </c>
      <c r="I4048" t="n">
        <v>0.7873180598199971</v>
      </c>
      <c r="J4048" t="n">
        <v>0.0053368749666062</v>
      </c>
      <c r="K4048" t="n">
        <v>0.790217350473673</v>
      </c>
      <c r="L4048" t="b">
        <v>0</v>
      </c>
      <c r="M4048" t="b">
        <v>0</v>
      </c>
      <c r="N4048" t="inlineStr">
        <is>
          <t>ref</t>
        </is>
      </c>
      <c r="O4048" t="n">
        <v>-50</v>
      </c>
      <c r="P4048" t="n">
        <v>0.001305</v>
      </c>
      <c r="Q4048" t="n">
        <v>40</v>
      </c>
      <c r="R4048" t="n">
        <v>0.05597</v>
      </c>
      <c r="S4048">
        <f>IMAGE("https://mitra.stanford.edu/kundaje/oak/projects/neuro-variants/variant_position/credible/roussos_2024/variant_figures/roussos_2024.childhood.Astrocyte/rs7848263_count_position.png",4,220,900)</f>
        <v/>
      </c>
      <c r="T4048">
        <f>IMAGE("https://mitra.stanford.edu/kundaje/oak/projects/neuro-variants/variant_position/credible/roussos_2024/variant_figures/roussos_2024.childhood.Astrocyte/rs7848263_profile_position.png",4,220,900)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-0.144667128</v>
      </c>
      <c r="G4049" t="n">
        <v>0.0344344120657298</v>
      </c>
      <c r="H4049" t="n">
        <v>0.0250848293281806</v>
      </c>
      <c r="I4049" t="n">
        <v>0.0579761880566981</v>
      </c>
      <c r="J4049" t="n">
        <v>0.0041652355109797</v>
      </c>
      <c r="K4049" t="n">
        <v>0.8113805898811024</v>
      </c>
      <c r="L4049" t="b">
        <v>0</v>
      </c>
      <c r="M4049" t="b">
        <v>0</v>
      </c>
      <c r="N4049" t="inlineStr">
        <is>
          <t>ref</t>
        </is>
      </c>
      <c r="O4049" t="n">
        <v>55</v>
      </c>
      <c r="P4049" t="n">
        <v>0.00631</v>
      </c>
      <c r="Q4049" t="n">
        <v>45</v>
      </c>
      <c r="R4049" t="n">
        <v>0.05518</v>
      </c>
      <c r="S4049">
        <f>IMAGE("https://mitra.stanford.edu/kundaje/oak/projects/neuro-variants/variant_position/credible/roussos_2024/variant_figures/roussos_2024.childhood.Astrocyte/rs7020546_count_position.png",4,220,900)</f>
        <v/>
      </c>
      <c r="T4049">
        <f>IMAGE("https://mitra.stanford.edu/kundaje/oak/projects/neuro-variants/variant_position/credible/roussos_2024/variant_figures/roussos_2024.childhood.Astrocyte/rs7020546_profile_position.png",4,220,900)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-0.0206123647999999</v>
      </c>
      <c r="G4050" t="n">
        <v>0.5129447797856233</v>
      </c>
      <c r="H4050" t="n">
        <v>0.0124732636637774</v>
      </c>
      <c r="I4050" t="n">
        <v>0.4690683304850907</v>
      </c>
      <c r="J4050" t="n">
        <v>0.003290513155183</v>
      </c>
      <c r="K4050" t="n">
        <v>0.8281972778296468</v>
      </c>
      <c r="L4050" t="b">
        <v>0</v>
      </c>
      <c r="M4050" t="b">
        <v>0</v>
      </c>
      <c r="N4050" t="inlineStr">
        <is>
          <t>ref</t>
        </is>
      </c>
      <c r="O4050" t="n">
        <v>90</v>
      </c>
      <c r="P4050" t="n">
        <v>0.02145</v>
      </c>
      <c r="Q4050" t="n">
        <v>50</v>
      </c>
      <c r="R4050" t="n">
        <v>0.06909999999999999</v>
      </c>
      <c r="S4050">
        <f>IMAGE("https://mitra.stanford.edu/kundaje/oak/projects/neuro-variants/variant_position/credible/roussos_2024/variant_figures/roussos_2024.childhood.Astrocyte/rs80020015_count_position.png",4,220,900)</f>
        <v/>
      </c>
      <c r="T4050">
        <f>IMAGE("https://mitra.stanford.edu/kundaje/oak/projects/neuro-variants/variant_position/credible/roussos_2024/variant_figures/roussos_2024.childhood.Astrocyte/rs80020015_profile_position.png",4,220,900)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-0.247403342</v>
      </c>
      <c r="G4051" t="n">
        <v>0.010183660882405</v>
      </c>
      <c r="H4051" t="n">
        <v>0.0276483515282431</v>
      </c>
      <c r="I4051" t="n">
        <v>0.0452884911958358</v>
      </c>
      <c r="J4051" t="n">
        <v>0.0117515055757825</v>
      </c>
      <c r="K4051" t="n">
        <v>0.7116311573480282</v>
      </c>
      <c r="L4051" t="b">
        <v>1</v>
      </c>
      <c r="M4051" t="b">
        <v>1</v>
      </c>
      <c r="N4051" t="inlineStr">
        <is>
          <t>ref</t>
        </is>
      </c>
      <c r="O4051" t="n">
        <v>40</v>
      </c>
      <c r="P4051" t="n">
        <v>0.002686</v>
      </c>
      <c r="Q4051" t="n">
        <v>35</v>
      </c>
      <c r="R4051" t="n">
        <v>0.01538</v>
      </c>
      <c r="S4051">
        <f>IMAGE("https://mitra.stanford.edu/kundaje/oak/projects/neuro-variants/variant_position/credible/roussos_2024/variant_figures/roussos_2024.childhood.Astrocyte/rs10113923_count_position.png",4,220,900)</f>
        <v/>
      </c>
      <c r="T4051">
        <f>IMAGE("https://mitra.stanford.edu/kundaje/oak/projects/neuro-variants/variant_position/credible/roussos_2024/variant_figures/roussos_2024.childhood.Astrocyte/rs10113923_profile_position.png",4,220,900)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-0.0196883819999999</v>
      </c>
      <c r="G4052" t="n">
        <v>0.4719630679808453</v>
      </c>
      <c r="H4052" t="n">
        <v>0.0130880367157197</v>
      </c>
      <c r="I4052" t="n">
        <v>0.4259752050053028</v>
      </c>
      <c r="J4052" t="n">
        <v>0.0023493851755168</v>
      </c>
      <c r="K4052" t="n">
        <v>0.843694719365694</v>
      </c>
      <c r="L4052" t="b">
        <v>0</v>
      </c>
      <c r="M4052" t="b">
        <v>0</v>
      </c>
      <c r="N4052" t="inlineStr">
        <is>
          <t>ref</t>
        </is>
      </c>
      <c r="O4052" t="n">
        <v>-20</v>
      </c>
      <c r="P4052" t="n">
        <v>0.003418</v>
      </c>
      <c r="Q4052" t="n">
        <v>-20</v>
      </c>
      <c r="R4052" t="n">
        <v>0.04266</v>
      </c>
      <c r="S4052">
        <f>IMAGE("https://mitra.stanford.edu/kundaje/oak/projects/neuro-variants/variant_position/credible/roussos_2024/variant_figures/roussos_2024.childhood.Astrocyte/rs10116211_count_position.png",4,220,900)</f>
        <v/>
      </c>
      <c r="T4052">
        <f>IMAGE("https://mitra.stanford.edu/kundaje/oak/projects/neuro-variants/variant_position/credible/roussos_2024/variant_figures/roussos_2024.childhood.Astrocyte/rs10116211_profile_position.png",4,220,900)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0.0024529681419999</v>
      </c>
      <c r="G4053" t="n">
        <v>0.7537613705215253</v>
      </c>
      <c r="H4053" t="n">
        <v>0.0243109765963805</v>
      </c>
      <c r="I4053" t="n">
        <v>0.0650956283160762</v>
      </c>
      <c r="J4053" t="n">
        <v>0.2536595605016296</v>
      </c>
      <c r="K4053" t="n">
        <v>0.1616062837035775</v>
      </c>
      <c r="L4053" t="b">
        <v>0</v>
      </c>
      <c r="M4053" t="b">
        <v>0</v>
      </c>
      <c r="N4053" t="inlineStr">
        <is>
          <t>alt</t>
        </is>
      </c>
      <c r="O4053" t="n">
        <v>95</v>
      </c>
      <c r="P4053" t="n">
        <v>0.00801</v>
      </c>
      <c r="Q4053" t="n">
        <v>-85</v>
      </c>
      <c r="R4053" t="n">
        <v>0.185</v>
      </c>
      <c r="S4053">
        <f>IMAGE("https://mitra.stanford.edu/kundaje/oak/projects/neuro-variants/variant_position/credible/roussos_2024/variant_figures/roussos_2024.childhood.Astrocyte/rs6479482_count_position.png",4,220,900)</f>
        <v/>
      </c>
      <c r="T4053">
        <f>IMAGE("https://mitra.stanford.edu/kundaje/oak/projects/neuro-variants/variant_position/credible/roussos_2024/variant_figures/roussos_2024.childhood.Astrocyte/rs6479482_profile_position.png",4,220,900)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0.01373133934</v>
      </c>
      <c r="G4054" t="n">
        <v>0.587183834732106</v>
      </c>
      <c r="H4054" t="n">
        <v>0.0239841904342916</v>
      </c>
      <c r="I4054" t="n">
        <v>0.06980441720743701</v>
      </c>
      <c r="J4054" t="n">
        <v>0.0106386389136955</v>
      </c>
      <c r="K4054" t="n">
        <v>0.6915897852161851</v>
      </c>
      <c r="L4054" t="b">
        <v>0</v>
      </c>
      <c r="M4054" t="b">
        <v>0</v>
      </c>
      <c r="N4054" t="inlineStr">
        <is>
          <t>alt</t>
        </is>
      </c>
      <c r="O4054" t="n">
        <v>-60</v>
      </c>
      <c r="P4054" t="n">
        <v>0.06287</v>
      </c>
      <c r="Q4054" t="n">
        <v>-85</v>
      </c>
      <c r="R4054" t="n">
        <v>0.1469</v>
      </c>
      <c r="S4054">
        <f>IMAGE("https://mitra.stanford.edu/kundaje/oak/projects/neuro-variants/variant_position/credible/roussos_2024/variant_figures/roussos_2024.childhood.Astrocyte/rs12344021_count_position.png",4,220,900)</f>
        <v/>
      </c>
      <c r="T4054">
        <f>IMAGE("https://mitra.stanford.edu/kundaje/oak/projects/neuro-variants/variant_position/credible/roussos_2024/variant_figures/roussos_2024.childhood.Astrocyte/rs12344021_profile_position.png",4,220,900)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-0.0155701023999999</v>
      </c>
      <c r="G4055" t="n">
        <v>0.6126181758344106</v>
      </c>
      <c r="H4055" t="n">
        <v>0.0254308643504688</v>
      </c>
      <c r="I4055" t="n">
        <v>0.0547353556941406</v>
      </c>
      <c r="J4055" t="n">
        <v>0.008755619671330201</v>
      </c>
      <c r="K4055" t="n">
        <v>0.7052136548702359</v>
      </c>
      <c r="L4055" t="b">
        <v>0</v>
      </c>
      <c r="M4055" t="b">
        <v>0</v>
      </c>
      <c r="N4055" t="inlineStr">
        <is>
          <t>ref</t>
        </is>
      </c>
      <c r="O4055" t="n">
        <v>-70</v>
      </c>
      <c r="P4055" t="n">
        <v>0.00554</v>
      </c>
      <c r="Q4055" t="n">
        <v>-80</v>
      </c>
      <c r="R4055" t="n">
        <v>0.06213</v>
      </c>
      <c r="S4055">
        <f>IMAGE("https://mitra.stanford.edu/kundaje/oak/projects/neuro-variants/variant_position/credible/roussos_2024/variant_figures/roussos_2024.childhood.Astrocyte/rs12336645_count_position.png",4,220,900)</f>
        <v/>
      </c>
      <c r="T4055">
        <f>IMAGE("https://mitra.stanford.edu/kundaje/oak/projects/neuro-variants/variant_position/credible/roussos_2024/variant_figures/roussos_2024.childhood.Astrocyte/rs12336645_profile_position.png",4,220,900)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0.0052271511</v>
      </c>
      <c r="G4056" t="n">
        <v>0.7263074435655906</v>
      </c>
      <c r="H4056" t="n">
        <v>0.0296713524291575</v>
      </c>
      <c r="I4056" t="n">
        <v>0.0313920121052889</v>
      </c>
      <c r="J4056" t="n">
        <v>0.0082831474739147</v>
      </c>
      <c r="K4056" t="n">
        <v>0.7171150460267733</v>
      </c>
      <c r="L4056" t="b">
        <v>0</v>
      </c>
      <c r="M4056" t="b">
        <v>0</v>
      </c>
      <c r="N4056" t="inlineStr">
        <is>
          <t>alt</t>
        </is>
      </c>
      <c r="O4056" t="n">
        <v>45</v>
      </c>
      <c r="P4056" t="n">
        <v>0.00583</v>
      </c>
      <c r="Q4056" t="n">
        <v>-10</v>
      </c>
      <c r="R4056" t="n">
        <v>0.004578</v>
      </c>
      <c r="S4056">
        <f>IMAGE("https://mitra.stanford.edu/kundaje/oak/projects/neuro-variants/variant_position/credible/roussos_2024/variant_figures/roussos_2024.childhood.Astrocyte/rs7023933_count_position.png",4,220,900)</f>
        <v/>
      </c>
      <c r="T4056">
        <f>IMAGE("https://mitra.stanford.edu/kundaje/oak/projects/neuro-variants/variant_position/credible/roussos_2024/variant_figures/roussos_2024.childhood.Astrocyte/rs7023933_profile_position.png",4,220,900)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0.01166676558</v>
      </c>
      <c r="G4057" t="n">
        <v>0.612963173875042</v>
      </c>
      <c r="H4057" t="n">
        <v>0.023806054611373</v>
      </c>
      <c r="I4057" t="n">
        <v>0.071352802171489</v>
      </c>
      <c r="J4057" t="n">
        <v>0.08983917626495069</v>
      </c>
      <c r="K4057" t="n">
        <v>0.3442248454727831</v>
      </c>
      <c r="L4057" t="b">
        <v>0</v>
      </c>
      <c r="M4057" t="b">
        <v>0</v>
      </c>
      <c r="N4057" t="inlineStr">
        <is>
          <t>alt</t>
        </is>
      </c>
      <c r="O4057" t="n">
        <v>-35</v>
      </c>
      <c r="P4057" t="n">
        <v>0.02206</v>
      </c>
      <c r="Q4057" t="n">
        <v>65</v>
      </c>
      <c r="R4057" t="n">
        <v>0.11847</v>
      </c>
      <c r="S4057">
        <f>IMAGE("https://mitra.stanford.edu/kundaje/oak/projects/neuro-variants/variant_position/credible/roussos_2024/variant_figures/roussos_2024.childhood.Astrocyte/rs10125504_count_position.png",4,220,900)</f>
        <v/>
      </c>
      <c r="T4057">
        <f>IMAGE("https://mitra.stanford.edu/kundaje/oak/projects/neuro-variants/variant_position/credible/roussos_2024/variant_figures/roussos_2024.childhood.Astrocyte/rs10125504_profile_position.png",4,220,900)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0.0503875795999999</v>
      </c>
      <c r="G4058" t="n">
        <v>0.2117370582559516</v>
      </c>
      <c r="H4058" t="n">
        <v>0.0139019725927939</v>
      </c>
      <c r="I4058" t="n">
        <v>0.3631095399876443</v>
      </c>
      <c r="J4058" t="n">
        <v>0.0157724805935288</v>
      </c>
      <c r="K4058" t="n">
        <v>0.6588210934313782</v>
      </c>
      <c r="L4058" t="b">
        <v>0</v>
      </c>
      <c r="M4058" t="b">
        <v>0</v>
      </c>
      <c r="N4058" t="inlineStr">
        <is>
          <t>alt</t>
        </is>
      </c>
      <c r="O4058" t="n">
        <v>100</v>
      </c>
      <c r="P4058" t="n">
        <v>0.001839</v>
      </c>
      <c r="Q4058" t="n">
        <v>-75</v>
      </c>
      <c r="R4058" t="n">
        <v>0.04974</v>
      </c>
      <c r="S4058">
        <f>IMAGE("https://mitra.stanford.edu/kundaje/oak/projects/neuro-variants/variant_position/credible/roussos_2024/variant_figures/roussos_2024.childhood.Astrocyte/rs12554020_count_position.png",4,220,900)</f>
        <v/>
      </c>
      <c r="T4058">
        <f>IMAGE("https://mitra.stanford.edu/kundaje/oak/projects/neuro-variants/variant_position/credible/roussos_2024/variant_figures/roussos_2024.childhood.Astrocyte/rs12554020_profile_position.png",4,220,900)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0.0246564217999999</v>
      </c>
      <c r="G4059" t="n">
        <v>0.439108448314444</v>
      </c>
      <c r="H4059" t="n">
        <v>0.0297847814274501</v>
      </c>
      <c r="I4059" t="n">
        <v>0.0308094260396447</v>
      </c>
      <c r="J4059" t="n">
        <v>0.0299031393831145</v>
      </c>
      <c r="K4059" t="n">
        <v>0.5308622149271568</v>
      </c>
      <c r="L4059" t="b">
        <v>0</v>
      </c>
      <c r="M4059" t="b">
        <v>0</v>
      </c>
      <c r="N4059" t="inlineStr">
        <is>
          <t>alt</t>
        </is>
      </c>
      <c r="O4059" t="n">
        <v>70</v>
      </c>
      <c r="P4059" t="n">
        <v>0.00692</v>
      </c>
      <c r="Q4059" t="n">
        <v>100</v>
      </c>
      <c r="R4059" t="n">
        <v>0.03403</v>
      </c>
      <c r="S4059">
        <f>IMAGE("https://mitra.stanford.edu/kundaje/oak/projects/neuro-variants/variant_position/credible/roussos_2024/variant_figures/roussos_2024.childhood.Astrocyte/rs28464341_count_position.png",4,220,900)</f>
        <v/>
      </c>
      <c r="T4059">
        <f>IMAGE("https://mitra.stanford.edu/kundaje/oak/projects/neuro-variants/variant_position/credible/roussos_2024/variant_figures/roussos_2024.childhood.Astrocyte/rs28464341_profile_position.png",4,220,900)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-0.0262827823399999</v>
      </c>
      <c r="G4060" t="n">
        <v>0.4822276590409863</v>
      </c>
      <c r="H4060" t="n">
        <v>0.0194726081824607</v>
      </c>
      <c r="I4060" t="n">
        <v>0.1427044448941029</v>
      </c>
      <c r="J4060" t="n">
        <v>0.5658598765008053</v>
      </c>
      <c r="K4060" t="n">
        <v>0.0386126642388103</v>
      </c>
      <c r="L4060" t="b">
        <v>0</v>
      </c>
      <c r="M4060" t="b">
        <v>0</v>
      </c>
      <c r="N4060" t="inlineStr">
        <is>
          <t>ref</t>
        </is>
      </c>
      <c r="O4060" t="n">
        <v>-100</v>
      </c>
      <c r="P4060" t="n">
        <v>0.03058</v>
      </c>
      <c r="Q4060" t="n">
        <v>-100</v>
      </c>
      <c r="R4060" t="n">
        <v>0.433</v>
      </c>
      <c r="S4060">
        <f>IMAGE("https://mitra.stanford.edu/kundaje/oak/projects/neuro-variants/variant_position/credible/roussos_2024/variant_figures/roussos_2024.childhood.Astrocyte/rs7869257_count_position.png",4,220,900)</f>
        <v/>
      </c>
      <c r="T4060">
        <f>IMAGE("https://mitra.stanford.edu/kundaje/oak/projects/neuro-variants/variant_position/credible/roussos_2024/variant_figures/roussos_2024.childhood.Astrocyte/rs7869257_profile_position.png",4,220,900)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-0.034651224</v>
      </c>
      <c r="G4061" t="n">
        <v>0.3499032479737521</v>
      </c>
      <c r="H4061" t="n">
        <v>0.0109303793387544</v>
      </c>
      <c r="I4061" t="n">
        <v>0.6126757138996348</v>
      </c>
      <c r="J4061" t="n">
        <v>0.0411386656286017</v>
      </c>
      <c r="K4061" t="n">
        <v>0.4830299723779377</v>
      </c>
      <c r="L4061" t="b">
        <v>0</v>
      </c>
      <c r="M4061" t="b">
        <v>0</v>
      </c>
      <c r="N4061" t="inlineStr">
        <is>
          <t>ref</t>
        </is>
      </c>
      <c r="O4061" t="n">
        <v>100</v>
      </c>
      <c r="P4061" t="n">
        <v>0.00718</v>
      </c>
      <c r="Q4061" t="n">
        <v>-100</v>
      </c>
      <c r="R4061" t="n">
        <v>0.05823</v>
      </c>
      <c r="S4061">
        <f>IMAGE("https://mitra.stanford.edu/kundaje/oak/projects/neuro-variants/variant_position/credible/roussos_2024/variant_figures/roussos_2024.childhood.Astrocyte/rs7867834_count_position.png",4,220,900)</f>
        <v/>
      </c>
      <c r="T4061">
        <f>IMAGE("https://mitra.stanford.edu/kundaje/oak/projects/neuro-variants/variant_position/credible/roussos_2024/variant_figures/roussos_2024.childhood.Astrocyte/rs7867834_profile_position.png",4,220,900)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0.0849764952</v>
      </c>
      <c r="G4062" t="n">
        <v>0.1072232454460144</v>
      </c>
      <c r="H4062" t="n">
        <v>0.0159879280066956</v>
      </c>
      <c r="I4062" t="n">
        <v>0.2527166938462628</v>
      </c>
      <c r="J4062" t="n">
        <v>0.0100203796569805</v>
      </c>
      <c r="K4062" t="n">
        <v>0.7092848489741943</v>
      </c>
      <c r="L4062" t="b">
        <v>0</v>
      </c>
      <c r="M4062" t="b">
        <v>0</v>
      </c>
      <c r="N4062" t="inlineStr">
        <is>
          <t>alt</t>
        </is>
      </c>
      <c r="O4062" t="n">
        <v>-95</v>
      </c>
      <c r="P4062" t="n">
        <v>0.005066</v>
      </c>
      <c r="Q4062" t="n">
        <v>-25</v>
      </c>
      <c r="R4062" t="n">
        <v>0.082</v>
      </c>
      <c r="S4062">
        <f>IMAGE("https://mitra.stanford.edu/kundaje/oak/projects/neuro-variants/variant_position/credible/roussos_2024/variant_figures/roussos_2024.childhood.Astrocyte/rs10985817_count_position.png",4,220,900)</f>
        <v/>
      </c>
      <c r="T4062">
        <f>IMAGE("https://mitra.stanford.edu/kundaje/oak/projects/neuro-variants/variant_position/credible/roussos_2024/variant_figures/roussos_2024.childhood.Astrocyte/rs10985817_profile_position.png",4,220,900)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0.00757837116</v>
      </c>
      <c r="G4063" t="n">
        <v>0.7726305561684063</v>
      </c>
      <c r="H4063" t="n">
        <v>0.0116402771833289</v>
      </c>
      <c r="I4063" t="n">
        <v>0.5427475040798746</v>
      </c>
      <c r="J4063" t="n">
        <v>0.0063825727217908</v>
      </c>
      <c r="K4063" t="n">
        <v>0.7677420323119505</v>
      </c>
      <c r="L4063" t="b">
        <v>0</v>
      </c>
      <c r="M4063" t="b">
        <v>0</v>
      </c>
      <c r="N4063" t="inlineStr">
        <is>
          <t>alt</t>
        </is>
      </c>
      <c r="O4063" t="n">
        <v>-25</v>
      </c>
      <c r="P4063" t="n">
        <v>0.006763</v>
      </c>
      <c r="Q4063" t="n">
        <v>20</v>
      </c>
      <c r="R4063" t="n">
        <v>0.05432</v>
      </c>
      <c r="S4063">
        <f>IMAGE("https://mitra.stanford.edu/kundaje/oak/projects/neuro-variants/variant_position/credible/roussos_2024/variant_figures/roussos_2024.childhood.Astrocyte/rs3780444_count_position.png",4,220,900)</f>
        <v/>
      </c>
      <c r="T4063">
        <f>IMAGE("https://mitra.stanford.edu/kundaje/oak/projects/neuro-variants/variant_position/credible/roussos_2024/variant_figures/roussos_2024.childhood.Astrocyte/rs3780444_profile_position.png",4,220,900)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0.157625574</v>
      </c>
      <c r="G4064" t="n">
        <v>0.0278002158847694</v>
      </c>
      <c r="H4064" t="n">
        <v>0.0236004195936521</v>
      </c>
      <c r="I4064" t="n">
        <v>0.0720440903127568</v>
      </c>
      <c r="J4064" t="n">
        <v>0.3708334287437124</v>
      </c>
      <c r="K4064" t="n">
        <v>0.0990100034208132</v>
      </c>
      <c r="L4064" t="b">
        <v>0</v>
      </c>
      <c r="M4064" t="b">
        <v>0</v>
      </c>
      <c r="N4064" t="inlineStr">
        <is>
          <t>alt</t>
        </is>
      </c>
      <c r="O4064" t="n">
        <v>60</v>
      </c>
      <c r="P4064" t="n">
        <v>0.00775</v>
      </c>
      <c r="Q4064" t="n">
        <v>100</v>
      </c>
      <c r="R4064" t="n">
        <v>0.09766</v>
      </c>
      <c r="S4064">
        <f>IMAGE("https://mitra.stanford.edu/kundaje/oak/projects/neuro-variants/variant_position/credible/roussos_2024/variant_figures/roussos_2024.childhood.Astrocyte/rs10817282_count_position.png",4,220,900)</f>
        <v/>
      </c>
      <c r="T4064">
        <f>IMAGE("https://mitra.stanford.edu/kundaje/oak/projects/neuro-variants/variant_position/credible/roussos_2024/variant_figures/roussos_2024.childhood.Astrocyte/rs10817282_profile_position.png",4,220,900)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0.01396788346</v>
      </c>
      <c r="G4065" t="n">
        <v>0.5850176771789173</v>
      </c>
      <c r="H4065" t="n">
        <v>0.0136658813387631</v>
      </c>
      <c r="I4065" t="n">
        <v>0.3788619174561518</v>
      </c>
      <c r="J4065" t="n">
        <v>0.2135643027791134</v>
      </c>
      <c r="K4065" t="n">
        <v>0.1925177650153003</v>
      </c>
      <c r="L4065" t="b">
        <v>0</v>
      </c>
      <c r="M4065" t="b">
        <v>0</v>
      </c>
      <c r="N4065" t="inlineStr">
        <is>
          <t>alt</t>
        </is>
      </c>
      <c r="O4065" t="n">
        <v>85</v>
      </c>
      <c r="P4065" t="n">
        <v>0.003525</v>
      </c>
      <c r="Q4065" t="n">
        <v>-95</v>
      </c>
      <c r="R4065" t="n">
        <v>0.0381</v>
      </c>
      <c r="S4065">
        <f>IMAGE("https://mitra.stanford.edu/kundaje/oak/projects/neuro-variants/variant_position/credible/roussos_2024/variant_figures/roussos_2024.childhood.Astrocyte/rs1887518_count_position.png",4,220,900)</f>
        <v/>
      </c>
      <c r="T4065">
        <f>IMAGE("https://mitra.stanford.edu/kundaje/oak/projects/neuro-variants/variant_position/credible/roussos_2024/variant_figures/roussos_2024.childhood.Astrocyte/rs1887518_profile_position.png",4,220,900)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0.0737188924</v>
      </c>
      <c r="G4066" t="n">
        <v>0.1163632131725993</v>
      </c>
      <c r="H4066" t="n">
        <v>0.011926418437313</v>
      </c>
      <c r="I4066" t="n">
        <v>0.5178110065823822</v>
      </c>
      <c r="J4066" t="n">
        <v>0.0049674459786432</v>
      </c>
      <c r="K4066" t="n">
        <v>0.7773463569904908</v>
      </c>
      <c r="L4066" t="b">
        <v>0</v>
      </c>
      <c r="M4066" t="b">
        <v>0</v>
      </c>
      <c r="N4066" t="inlineStr">
        <is>
          <t>alt</t>
        </is>
      </c>
      <c r="O4066" t="n">
        <v>90</v>
      </c>
      <c r="P4066" t="n">
        <v>0.006256</v>
      </c>
      <c r="Q4066" t="n">
        <v>-20</v>
      </c>
      <c r="R4066" t="n">
        <v>0.0416</v>
      </c>
      <c r="S4066">
        <f>IMAGE("https://mitra.stanford.edu/kundaje/oak/projects/neuro-variants/variant_position/credible/roussos_2024/variant_figures/roussos_2024.childhood.Astrocyte/rs10114558_count_position.png",4,220,900)</f>
        <v/>
      </c>
      <c r="T4066">
        <f>IMAGE("https://mitra.stanford.edu/kundaje/oak/projects/neuro-variants/variant_position/credible/roussos_2024/variant_figures/roussos_2024.childhood.Astrocyte/rs10114558_profile_position.png",4,220,900)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0.0290337448</v>
      </c>
      <c r="G4067" t="n">
        <v>0.1632052424439638</v>
      </c>
      <c r="H4067" t="n">
        <v>0.0150773577724964</v>
      </c>
      <c r="I4067" t="n">
        <v>0.2989724069476486</v>
      </c>
      <c r="J4067" t="n">
        <v>0.1496996481265217</v>
      </c>
      <c r="K4067" t="n">
        <v>0.2551911049288626</v>
      </c>
      <c r="L4067" t="b">
        <v>0</v>
      </c>
      <c r="M4067" t="b">
        <v>0</v>
      </c>
      <c r="N4067" t="inlineStr">
        <is>
          <t>alt</t>
        </is>
      </c>
      <c r="O4067" t="n">
        <v>95</v>
      </c>
      <c r="P4067" t="n">
        <v>0.02979</v>
      </c>
      <c r="Q4067" t="n">
        <v>60</v>
      </c>
      <c r="R4067" t="n">
        <v>0.1333</v>
      </c>
      <c r="S4067">
        <f>IMAGE("https://mitra.stanford.edu/kundaje/oak/projects/neuro-variants/variant_position/credible/roussos_2024/variant_figures/roussos_2024.childhood.Astrocyte/rs7861162_count_position.png",4,220,900)</f>
        <v/>
      </c>
      <c r="T4067">
        <f>IMAGE("https://mitra.stanford.edu/kundaje/oak/projects/neuro-variants/variant_position/credible/roussos_2024/variant_figures/roussos_2024.childhood.Astrocyte/rs7861162_profile_position.png",4,220,900)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-0.02869240921</v>
      </c>
      <c r="G4068" t="n">
        <v>0.3468618605843007</v>
      </c>
      <c r="H4068" t="n">
        <v>0.0123177318758086</v>
      </c>
      <c r="I4068" t="n">
        <v>0.4736433508584241</v>
      </c>
      <c r="J4068" t="n">
        <v>0.1351797149901154</v>
      </c>
      <c r="K4068" t="n">
        <v>0.276176508284721</v>
      </c>
      <c r="L4068" t="b">
        <v>0</v>
      </c>
      <c r="M4068" t="b">
        <v>0</v>
      </c>
      <c r="N4068" t="inlineStr">
        <is>
          <t>ref</t>
        </is>
      </c>
      <c r="O4068" t="n">
        <v>-100</v>
      </c>
      <c r="P4068" t="n">
        <v>0.04706</v>
      </c>
      <c r="Q4068" t="n">
        <v>-100</v>
      </c>
      <c r="R4068" t="n">
        <v>0.313</v>
      </c>
      <c r="S4068">
        <f>IMAGE("https://mitra.stanford.edu/kundaje/oak/projects/neuro-variants/variant_position/credible/roussos_2024/variant_figures/roussos_2024.childhood.Astrocyte/rs7861788_count_position.png",4,220,900)</f>
        <v/>
      </c>
      <c r="T4068">
        <f>IMAGE("https://mitra.stanford.edu/kundaje/oak/projects/neuro-variants/variant_position/credible/roussos_2024/variant_figures/roussos_2024.childhood.Astrocyte/rs7861788_profile_position.png",4,220,900)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-0.007879775</v>
      </c>
      <c r="G4069" t="n">
        <v>0.7092720641073094</v>
      </c>
      <c r="H4069" t="n">
        <v>0.0100232963553826</v>
      </c>
      <c r="I4069" t="n">
        <v>0.7088744681743983</v>
      </c>
      <c r="J4069" t="n">
        <v>0.0495737064260798</v>
      </c>
      <c r="K4069" t="n">
        <v>0.4432910355224274</v>
      </c>
      <c r="L4069" t="b">
        <v>0</v>
      </c>
      <c r="M4069" t="b">
        <v>0</v>
      </c>
      <c r="N4069" t="inlineStr">
        <is>
          <t>ref</t>
        </is>
      </c>
      <c r="O4069" t="n">
        <v>-100</v>
      </c>
      <c r="P4069" t="n">
        <v>0.008286</v>
      </c>
      <c r="Q4069" t="n">
        <v>-100</v>
      </c>
      <c r="R4069" t="n">
        <v>0.2256</v>
      </c>
      <c r="S4069">
        <f>IMAGE("https://mitra.stanford.edu/kundaje/oak/projects/neuro-variants/variant_position/credible/roussos_2024/variant_figures/roussos_2024.childhood.Astrocyte/rs7869523_count_position.png",4,220,900)</f>
        <v/>
      </c>
      <c r="T4069">
        <f>IMAGE("https://mitra.stanford.edu/kundaje/oak/projects/neuro-variants/variant_position/credible/roussos_2024/variant_figures/roussos_2024.childhood.Astrocyte/rs7869523_profile_position.png",4,220,900)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-0.021059161</v>
      </c>
      <c r="G4070" t="n">
        <v>0.5171193958362593</v>
      </c>
      <c r="H4070" t="n">
        <v>0.0379039973113051</v>
      </c>
      <c r="I4070" t="n">
        <v>0.0118792675303377</v>
      </c>
      <c r="J4070" t="n">
        <v>0.0091746620564371</v>
      </c>
      <c r="K4070" t="n">
        <v>0.6979717565308142</v>
      </c>
      <c r="L4070" t="b">
        <v>0</v>
      </c>
      <c r="M4070" t="b">
        <v>0</v>
      </c>
      <c r="N4070" t="inlineStr">
        <is>
          <t>ref</t>
        </is>
      </c>
      <c r="O4070" t="n">
        <v>15</v>
      </c>
      <c r="P4070" t="n">
        <v>0.004524</v>
      </c>
      <c r="Q4070" t="n">
        <v>95</v>
      </c>
      <c r="R4070" t="n">
        <v>0.05615</v>
      </c>
      <c r="S4070">
        <f>IMAGE("https://mitra.stanford.edu/kundaje/oak/projects/neuro-variants/variant_position/credible/roussos_2024/variant_figures/roussos_2024.childhood.Astrocyte/rs7871559_count_position.png",4,220,900)</f>
        <v/>
      </c>
      <c r="T4070">
        <f>IMAGE("https://mitra.stanford.edu/kundaje/oak/projects/neuro-variants/variant_position/credible/roussos_2024/variant_figures/roussos_2024.childhood.Astrocyte/rs7871559_profile_position.png",4,220,900)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-0.0237363484</v>
      </c>
      <c r="G4071" t="n">
        <v>0.4758449794217765</v>
      </c>
      <c r="H4071" t="n">
        <v>0.0402610613890164</v>
      </c>
      <c r="I4071" t="n">
        <v>0.00949573833745</v>
      </c>
      <c r="J4071" t="n">
        <v>0.0597352934441619</v>
      </c>
      <c r="K4071" t="n">
        <v>0.4132572118463702</v>
      </c>
      <c r="L4071" t="b">
        <v>1</v>
      </c>
      <c r="M4071" t="b">
        <v>1</v>
      </c>
      <c r="N4071" t="inlineStr">
        <is>
          <t>ref</t>
        </is>
      </c>
      <c r="O4071" t="n">
        <v>100</v>
      </c>
      <c r="P4071" t="n">
        <v>0.026</v>
      </c>
      <c r="Q4071" t="n">
        <v>100</v>
      </c>
      <c r="R4071" t="n">
        <v>0.2307</v>
      </c>
      <c r="S4071">
        <f>IMAGE("https://mitra.stanford.edu/kundaje/oak/projects/neuro-variants/variant_position/credible/roussos_2024/variant_figures/roussos_2024.childhood.Astrocyte/rs3780514_count_position.png",4,220,900)</f>
        <v/>
      </c>
      <c r="T4071">
        <f>IMAGE("https://mitra.stanford.edu/kundaje/oak/projects/neuro-variants/variant_position/credible/roussos_2024/variant_figures/roussos_2024.childhood.Astrocyte/rs3780514_profile_position.png",4,220,900)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0.0154400731</v>
      </c>
      <c r="G4072" t="n">
        <v>0.5136520272187443</v>
      </c>
      <c r="H4072" t="n">
        <v>0.0397612859622825</v>
      </c>
      <c r="I4072" t="n">
        <v>0.0099342821547616</v>
      </c>
      <c r="J4072" t="n">
        <v>0.0129948936365093</v>
      </c>
      <c r="K4072" t="n">
        <v>0.6587481024267231</v>
      </c>
      <c r="L4072" t="b">
        <v>1</v>
      </c>
      <c r="M4072" t="b">
        <v>0</v>
      </c>
      <c r="N4072" t="inlineStr">
        <is>
          <t>alt</t>
        </is>
      </c>
      <c r="O4072" t="n">
        <v>100</v>
      </c>
      <c r="P4072" t="n">
        <v>0.00534</v>
      </c>
      <c r="Q4072" t="n">
        <v>60</v>
      </c>
      <c r="R4072" t="n">
        <v>0.003601</v>
      </c>
      <c r="S4072">
        <f>IMAGE("https://mitra.stanford.edu/kundaje/oak/projects/neuro-variants/variant_position/credible/roussos_2024/variant_figures/roussos_2024.childhood.Astrocyte/rs3736985_count_position.png",4,220,900)</f>
        <v/>
      </c>
      <c r="T4072">
        <f>IMAGE("https://mitra.stanford.edu/kundaje/oak/projects/neuro-variants/variant_position/credible/roussos_2024/variant_figures/roussos_2024.childhood.Astrocyte/rs3736985_profile_position.png",4,220,900)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0.1389170729999999</v>
      </c>
      <c r="G4073" t="n">
        <v>0.0425521973188099</v>
      </c>
      <c r="H4073" t="n">
        <v>0.0243057958920426</v>
      </c>
      <c r="I4073" t="n">
        <v>0.0683037835156219</v>
      </c>
      <c r="J4073" t="n">
        <v>0.0060986314335218</v>
      </c>
      <c r="K4073" t="n">
        <v>0.7712848482818878</v>
      </c>
      <c r="L4073" t="b">
        <v>0</v>
      </c>
      <c r="M4073" t="b">
        <v>0</v>
      </c>
      <c r="N4073" t="inlineStr">
        <is>
          <t>alt</t>
        </is>
      </c>
      <c r="O4073" t="n">
        <v>-100</v>
      </c>
      <c r="P4073" t="n">
        <v>0.01027</v>
      </c>
      <c r="Q4073" t="n">
        <v>15</v>
      </c>
      <c r="R4073" t="n">
        <v>0.05298</v>
      </c>
      <c r="S4073">
        <f>IMAGE("https://mitra.stanford.edu/kundaje/oak/projects/neuro-variants/variant_position/credible/roussos_2024/variant_figures/roussos_2024.childhood.Astrocyte/rs7026917_count_position.png",4,220,900)</f>
        <v/>
      </c>
      <c r="T4073">
        <f>IMAGE("https://mitra.stanford.edu/kundaje/oak/projects/neuro-variants/variant_position/credible/roussos_2024/variant_figures/roussos_2024.childhood.Astrocyte/rs7026917_profile_position.png",4,220,900)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0.0355147311999999</v>
      </c>
      <c r="G4074" t="n">
        <v>0.3195698591017157</v>
      </c>
      <c r="H4074" t="n">
        <v>0.013116877330206</v>
      </c>
      <c r="I4074" t="n">
        <v>0.4205110946689945</v>
      </c>
      <c r="J4074" t="n">
        <v>0.0009266256020394</v>
      </c>
      <c r="K4074" t="n">
        <v>0.9215700691591066</v>
      </c>
      <c r="L4074" t="b">
        <v>0</v>
      </c>
      <c r="M4074" t="b">
        <v>0</v>
      </c>
      <c r="N4074" t="inlineStr">
        <is>
          <t>alt</t>
        </is>
      </c>
      <c r="O4074" t="n">
        <v>100</v>
      </c>
      <c r="P4074" t="n">
        <v>0.0109</v>
      </c>
      <c r="Q4074" t="n">
        <v>-40</v>
      </c>
      <c r="R4074" t="n">
        <v>0.08594</v>
      </c>
      <c r="S4074">
        <f>IMAGE("https://mitra.stanford.edu/kundaje/oak/projects/neuro-variants/variant_position/credible/roussos_2024/variant_figures/roussos_2024.childhood.Astrocyte/rs7021564_count_position.png",4,220,900)</f>
        <v/>
      </c>
      <c r="T4074">
        <f>IMAGE("https://mitra.stanford.edu/kundaje/oak/projects/neuro-variants/variant_position/credible/roussos_2024/variant_figures/roussos_2024.childhood.Astrocyte/rs7021564_profile_position.png",4,220,900)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0.0268699608</v>
      </c>
      <c r="G4075" t="n">
        <v>0.4060486976224802</v>
      </c>
      <c r="H4075" t="n">
        <v>0.00858859405484</v>
      </c>
      <c r="I4075" t="n">
        <v>0.8534150154304884</v>
      </c>
      <c r="J4075" t="n">
        <v>0.0020929220764351</v>
      </c>
      <c r="K4075" t="n">
        <v>0.8614811770660892</v>
      </c>
      <c r="L4075" t="b">
        <v>0</v>
      </c>
      <c r="M4075" t="b">
        <v>0</v>
      </c>
      <c r="N4075" t="inlineStr">
        <is>
          <t>alt</t>
        </is>
      </c>
      <c r="O4075" t="n">
        <v>0</v>
      </c>
      <c r="P4075" t="n">
        <v>0</v>
      </c>
      <c r="Q4075" t="n">
        <v>100</v>
      </c>
      <c r="R4075" t="n">
        <v>0.11835</v>
      </c>
      <c r="S4075">
        <f>IMAGE("https://mitra.stanford.edu/kundaje/oak/projects/neuro-variants/variant_position/credible/roussos_2024/variant_figures/roussos_2024.childhood.Astrocyte/rs7033486_count_position.png",4,220,900)</f>
        <v/>
      </c>
      <c r="T4075">
        <f>IMAGE("https://mitra.stanford.edu/kundaje/oak/projects/neuro-variants/variant_position/credible/roussos_2024/variant_figures/roussos_2024.childhood.Astrocyte/rs7033486_profile_position.png",4,220,900)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0.0962815106799999</v>
      </c>
      <c r="G4076" t="n">
        <v>0.1131883350475515</v>
      </c>
      <c r="H4076" t="n">
        <v>0.0176020573535481</v>
      </c>
      <c r="I4076" t="n">
        <v>0.1877240107433388</v>
      </c>
      <c r="J4076" t="n">
        <v>0.0150458351461305</v>
      </c>
      <c r="K4076" t="n">
        <v>0.6543095213712372</v>
      </c>
      <c r="L4076" t="b">
        <v>0</v>
      </c>
      <c r="M4076" t="b">
        <v>0</v>
      </c>
      <c r="N4076" t="inlineStr">
        <is>
          <t>alt</t>
        </is>
      </c>
      <c r="O4076" t="n">
        <v>70</v>
      </c>
      <c r="P4076" t="n">
        <v>0.00428</v>
      </c>
      <c r="Q4076" t="n">
        <v>70</v>
      </c>
      <c r="R4076" t="n">
        <v>0.08740000000000001</v>
      </c>
      <c r="S4076">
        <f>IMAGE("https://mitra.stanford.edu/kundaje/oak/projects/neuro-variants/variant_position/credible/roussos_2024/variant_figures/roussos_2024.childhood.Astrocyte/rs11792718_count_position.png",4,220,900)</f>
        <v/>
      </c>
      <c r="T4076">
        <f>IMAGE("https://mitra.stanford.edu/kundaje/oak/projects/neuro-variants/variant_position/credible/roussos_2024/variant_figures/roussos_2024.childhood.Astrocyte/rs11792718_profile_position.png",4,220,900)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0.01492211984</v>
      </c>
      <c r="G4077" t="n">
        <v>0.6175103993992904</v>
      </c>
      <c r="H4077" t="n">
        <v>0.0179196705204469</v>
      </c>
      <c r="I4077" t="n">
        <v>0.1794231012850955</v>
      </c>
      <c r="J4077" t="n">
        <v>0.0001053330585514</v>
      </c>
      <c r="K4077" t="n">
        <v>0.9869240313242176</v>
      </c>
      <c r="L4077" t="b">
        <v>0</v>
      </c>
      <c r="M4077" t="b">
        <v>0</v>
      </c>
      <c r="N4077" t="inlineStr">
        <is>
          <t>alt</t>
        </is>
      </c>
      <c r="O4077" t="n">
        <v>-55</v>
      </c>
      <c r="P4077" t="n">
        <v>0.003618</v>
      </c>
      <c r="Q4077" t="n">
        <v>75</v>
      </c>
      <c r="R4077" t="n">
        <v>0.0597</v>
      </c>
      <c r="S4077">
        <f>IMAGE("https://mitra.stanford.edu/kundaje/oak/projects/neuro-variants/variant_position/credible/roussos_2024/variant_figures/roussos_2024.childhood.Astrocyte/rs6477903_count_position.png",4,220,900)</f>
        <v/>
      </c>
      <c r="T4077">
        <f>IMAGE("https://mitra.stanford.edu/kundaje/oak/projects/neuro-variants/variant_position/credible/roussos_2024/variant_figures/roussos_2024.childhood.Astrocyte/rs6477903_profile_position.png",4,220,900)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-0.0156572416599999</v>
      </c>
      <c r="G4078" t="n">
        <v>0.5641408703956119</v>
      </c>
      <c r="H4078" t="n">
        <v>0.0336338422408259</v>
      </c>
      <c r="I4078" t="n">
        <v>0.0197148550274015</v>
      </c>
      <c r="J4078" t="n">
        <v>0.0133086029630647</v>
      </c>
      <c r="K4078" t="n">
        <v>0.6615016533871068</v>
      </c>
      <c r="L4078" t="b">
        <v>1</v>
      </c>
      <c r="M4078" t="b">
        <v>0</v>
      </c>
      <c r="N4078" t="inlineStr">
        <is>
          <t>ref</t>
        </is>
      </c>
      <c r="O4078" t="n">
        <v>70</v>
      </c>
      <c r="P4078" t="n">
        <v>0.002075</v>
      </c>
      <c r="Q4078" t="n">
        <v>45</v>
      </c>
      <c r="R4078" t="n">
        <v>0.01987</v>
      </c>
      <c r="S4078">
        <f>IMAGE("https://mitra.stanford.edu/kundaje/oak/projects/neuro-variants/variant_position/credible/roussos_2024/variant_figures/roussos_2024.childhood.Astrocyte/rs4979090_count_position.png",4,220,900)</f>
        <v/>
      </c>
      <c r="T4078">
        <f>IMAGE("https://mitra.stanford.edu/kundaje/oak/projects/neuro-variants/variant_position/credible/roussos_2024/variant_figures/roussos_2024.childhood.Astrocyte/rs4979090_profile_position.png",4,220,900)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-0.0045402725199999</v>
      </c>
      <c r="G4079" t="n">
        <v>0.7592949450389981</v>
      </c>
      <c r="H4079" t="n">
        <v>0.0101870420962666</v>
      </c>
      <c r="I4079" t="n">
        <v>0.6861470755548795</v>
      </c>
      <c r="J4079" t="n">
        <v>0.0049987405829955</v>
      </c>
      <c r="K4079" t="n">
        <v>0.7831746859882611</v>
      </c>
      <c r="L4079" t="b">
        <v>0</v>
      </c>
      <c r="M4079" t="b">
        <v>0</v>
      </c>
      <c r="N4079" t="inlineStr">
        <is>
          <t>ref</t>
        </is>
      </c>
      <c r="O4079" t="n">
        <v>85</v>
      </c>
      <c r="P4079" t="n">
        <v>0.004143</v>
      </c>
      <c r="Q4079" t="n">
        <v>100</v>
      </c>
      <c r="R4079" t="n">
        <v>0.06469999999999999</v>
      </c>
      <c r="S4079">
        <f>IMAGE("https://mitra.stanford.edu/kundaje/oak/projects/neuro-variants/variant_position/credible/roussos_2024/variant_figures/roussos_2024.childhood.Astrocyte/rs7027240_count_position.png",4,220,900)</f>
        <v/>
      </c>
      <c r="T4079">
        <f>IMAGE("https://mitra.stanford.edu/kundaje/oak/projects/neuro-variants/variant_position/credible/roussos_2024/variant_figures/roussos_2024.childhood.Astrocyte/rs7027240_profile_position.png",4,220,900)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-0.0229320456</v>
      </c>
      <c r="G4080" t="n">
        <v>0.4841794152243995</v>
      </c>
      <c r="H4080" t="n">
        <v>0.0143381274267014</v>
      </c>
      <c r="I4080" t="n">
        <v>0.3368454707946681</v>
      </c>
      <c r="J4080" t="n">
        <v>0.0196377458725469</v>
      </c>
      <c r="K4080" t="n">
        <v>0.6067260657004481</v>
      </c>
      <c r="L4080" t="b">
        <v>0</v>
      </c>
      <c r="M4080" t="b">
        <v>0</v>
      </c>
      <c r="N4080" t="inlineStr">
        <is>
          <t>ref</t>
        </is>
      </c>
      <c r="O4080" t="n">
        <v>35</v>
      </c>
      <c r="P4080" t="n">
        <v>0.0008630000000000001</v>
      </c>
      <c r="Q4080" t="n">
        <v>75</v>
      </c>
      <c r="R4080" t="n">
        <v>0.083</v>
      </c>
      <c r="S4080">
        <f>IMAGE("https://mitra.stanford.edu/kundaje/oak/projects/neuro-variants/variant_position/credible/roussos_2024/variant_figures/roussos_2024.childhood.Astrocyte/rs10817308_count_position.png",4,220,900)</f>
        <v/>
      </c>
      <c r="T4080">
        <f>IMAGE("https://mitra.stanford.edu/kundaje/oak/projects/neuro-variants/variant_position/credible/roussos_2024/variant_figures/roussos_2024.childhood.Astrocyte/rs10817308_profile_position.png",4,220,900)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-0.06832672479999991</v>
      </c>
      <c r="G4081" t="n">
        <v>0.1432850365646321</v>
      </c>
      <c r="H4081" t="n">
        <v>0.0213405739820597</v>
      </c>
      <c r="I4081" t="n">
        <v>0.1023028897726834</v>
      </c>
      <c r="J4081" t="n">
        <v>0.0017189133902742</v>
      </c>
      <c r="K4081" t="n">
        <v>0.8741819573731677</v>
      </c>
      <c r="L4081" t="b">
        <v>0</v>
      </c>
      <c r="M4081" t="b">
        <v>0</v>
      </c>
      <c r="N4081" t="inlineStr">
        <is>
          <t>ref</t>
        </is>
      </c>
      <c r="O4081" t="n">
        <v>100</v>
      </c>
      <c r="P4081" t="n">
        <v>0.00435</v>
      </c>
      <c r="Q4081" t="n">
        <v>45</v>
      </c>
      <c r="R4081" t="n">
        <v>0.133</v>
      </c>
      <c r="S4081">
        <f>IMAGE("https://mitra.stanford.edu/kundaje/oak/projects/neuro-variants/variant_position/credible/roussos_2024/variant_figures/roussos_2024.childhood.Astrocyte/rs12376681_count_position.png",4,220,900)</f>
        <v/>
      </c>
      <c r="T4081">
        <f>IMAGE("https://mitra.stanford.edu/kundaje/oak/projects/neuro-variants/variant_position/credible/roussos_2024/variant_figures/roussos_2024.childhood.Astrocyte/rs12376681_profile_position.png",4,220,900)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0.0439747596</v>
      </c>
      <c r="G4082" t="n">
        <v>0.2549638692289636</v>
      </c>
      <c r="H4082" t="n">
        <v>0.0097463136963517</v>
      </c>
      <c r="I4082" t="n">
        <v>0.7508446694251536</v>
      </c>
      <c r="J4082" t="n">
        <v>0.0153450420950592</v>
      </c>
      <c r="K4082" t="n">
        <v>0.6311930817124264</v>
      </c>
      <c r="L4082" t="b">
        <v>0</v>
      </c>
      <c r="M4082" t="b">
        <v>0</v>
      </c>
      <c r="N4082" t="inlineStr">
        <is>
          <t>alt</t>
        </is>
      </c>
      <c r="O4082" t="n">
        <v>-45</v>
      </c>
      <c r="P4082" t="n">
        <v>0.03406</v>
      </c>
      <c r="Q4082" t="n">
        <v>100</v>
      </c>
      <c r="R4082" t="n">
        <v>0.06934</v>
      </c>
      <c r="S4082">
        <f>IMAGE("https://mitra.stanford.edu/kundaje/oak/projects/neuro-variants/variant_position/credible/roussos_2024/variant_figures/roussos_2024.childhood.Astrocyte/rs4978484_count_position.png",4,220,900)</f>
        <v/>
      </c>
      <c r="T4082">
        <f>IMAGE("https://mitra.stanford.edu/kundaje/oak/projects/neuro-variants/variant_position/credible/roussos_2024/variant_figures/roussos_2024.childhood.Astrocyte/rs4978484_profile_position.png",4,220,900)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0.0124259725999999</v>
      </c>
      <c r="G4083" t="n">
        <v>0.6574840834492655</v>
      </c>
      <c r="H4083" t="n">
        <v>0.0222631336860736</v>
      </c>
      <c r="I4083" t="n">
        <v>0.08949834466950581</v>
      </c>
      <c r="J4083" t="n">
        <v>0.0037668017677634</v>
      </c>
      <c r="K4083" t="n">
        <v>0.8019970669848312</v>
      </c>
      <c r="L4083" t="b">
        <v>0</v>
      </c>
      <c r="M4083" t="b">
        <v>0</v>
      </c>
      <c r="N4083" t="inlineStr">
        <is>
          <t>alt</t>
        </is>
      </c>
      <c r="O4083" t="n">
        <v>100</v>
      </c>
      <c r="P4083" t="n">
        <v>0.01843</v>
      </c>
      <c r="Q4083" t="n">
        <v>-35</v>
      </c>
      <c r="R4083" t="n">
        <v>0.0105</v>
      </c>
      <c r="S4083">
        <f>IMAGE("https://mitra.stanford.edu/kundaje/oak/projects/neuro-variants/variant_position/credible/roussos_2024/variant_figures/roussos_2024.childhood.Astrocyte/rs4979103_count_position.png",4,220,900)</f>
        <v/>
      </c>
      <c r="T4083">
        <f>IMAGE("https://mitra.stanford.edu/kundaje/oak/projects/neuro-variants/variant_position/credible/roussos_2024/variant_figures/roussos_2024.childhood.Astrocyte/rs4979103_profile_position.png",4,220,900)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-0.010433206096</v>
      </c>
      <c r="G4084" t="n">
        <v>0.5349085759432568</v>
      </c>
      <c r="H4084" t="n">
        <v>0.0125647676947479</v>
      </c>
      <c r="I4084" t="n">
        <v>0.4562003469453188</v>
      </c>
      <c r="J4084" t="n">
        <v>0.0503637043652156</v>
      </c>
      <c r="K4084" t="n">
        <v>0.4427431176501862</v>
      </c>
      <c r="L4084" t="b">
        <v>0</v>
      </c>
      <c r="M4084" t="b">
        <v>0</v>
      </c>
      <c r="N4084" t="inlineStr">
        <is>
          <t>ref</t>
        </is>
      </c>
      <c r="O4084" t="n">
        <v>5</v>
      </c>
      <c r="P4084" t="n">
        <v>0.002075</v>
      </c>
      <c r="Q4084" t="n">
        <v>-50</v>
      </c>
      <c r="R4084" t="n">
        <v>0.0687</v>
      </c>
      <c r="S4084">
        <f>IMAGE("https://mitra.stanford.edu/kundaje/oak/projects/neuro-variants/variant_position/credible/roussos_2024/variant_figures/roussos_2024.childhood.Astrocyte/rs10817323_count_position.png",4,220,900)</f>
        <v/>
      </c>
      <c r="T4084">
        <f>IMAGE("https://mitra.stanford.edu/kundaje/oak/projects/neuro-variants/variant_position/credible/roussos_2024/variant_figures/roussos_2024.childhood.Astrocyte/rs10817323_profile_position.png",4,220,900)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0.1442722799999999</v>
      </c>
      <c r="G4085" t="n">
        <v>0.0335754884394577</v>
      </c>
      <c r="H4085" t="n">
        <v>0.0183144550548153</v>
      </c>
      <c r="I4085" t="n">
        <v>0.1688946350768845</v>
      </c>
      <c r="J4085" t="n">
        <v>0.09313884881652949</v>
      </c>
      <c r="K4085" t="n">
        <v>0.3424412096475679</v>
      </c>
      <c r="L4085" t="b">
        <v>0</v>
      </c>
      <c r="M4085" t="b">
        <v>0</v>
      </c>
      <c r="N4085" t="inlineStr">
        <is>
          <t>alt</t>
        </is>
      </c>
      <c r="O4085" t="n">
        <v>30</v>
      </c>
      <c r="P4085" t="n">
        <v>0.005486</v>
      </c>
      <c r="Q4085" t="n">
        <v>30</v>
      </c>
      <c r="R4085" t="n">
        <v>0.1366</v>
      </c>
      <c r="S4085">
        <f>IMAGE("https://mitra.stanford.edu/kundaje/oak/projects/neuro-variants/variant_position/credible/roussos_2024/variant_figures/roussos_2024.childhood.Astrocyte/rs11790388_count_position.png",4,220,900)</f>
        <v/>
      </c>
      <c r="T4085">
        <f>IMAGE("https://mitra.stanford.edu/kundaje/oak/projects/neuro-variants/variant_position/credible/roussos_2024/variant_figures/roussos_2024.childhood.Astrocyte/rs11790388_profile_position.png",4,220,900)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0.0666752218</v>
      </c>
      <c r="G4086" t="n">
        <v>0.1418770754874335</v>
      </c>
      <c r="H4086" t="n">
        <v>0.020210783725642</v>
      </c>
      <c r="I4086" t="n">
        <v>0.126074582285155</v>
      </c>
      <c r="J4086" t="n">
        <v>0.3866051460542083</v>
      </c>
      <c r="K4086" t="n">
        <v>0.093589067746586</v>
      </c>
      <c r="L4086" t="b">
        <v>0</v>
      </c>
      <c r="M4086" t="b">
        <v>0</v>
      </c>
      <c r="N4086" t="inlineStr">
        <is>
          <t>alt</t>
        </is>
      </c>
      <c r="O4086" t="n">
        <v>-100</v>
      </c>
      <c r="P4086" t="n">
        <v>0.002937</v>
      </c>
      <c r="Q4086" t="n">
        <v>50</v>
      </c>
      <c r="R4086" t="n">
        <v>0.01794</v>
      </c>
      <c r="S4086">
        <f>IMAGE("https://mitra.stanford.edu/kundaje/oak/projects/neuro-variants/variant_position/credible/roussos_2024/variant_figures/roussos_2024.childhood.Astrocyte/rs7868607_count_position.png",4,220,900)</f>
        <v/>
      </c>
      <c r="T4086">
        <f>IMAGE("https://mitra.stanford.edu/kundaje/oak/projects/neuro-variants/variant_position/credible/roussos_2024/variant_figures/roussos_2024.childhood.Astrocyte/rs7868607_profile_position.png",4,220,900)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-0.150646583</v>
      </c>
      <c r="G4087" t="n">
        <v>0.0414566894458037</v>
      </c>
      <c r="H4087" t="n">
        <v>0.0941846574033539</v>
      </c>
      <c r="I4087" t="n">
        <v>0.0007084288656338</v>
      </c>
      <c r="J4087" t="n">
        <v>0.2055177730454229</v>
      </c>
      <c r="K4087" t="n">
        <v>0.2013829388709074</v>
      </c>
      <c r="L4087" t="b">
        <v>1</v>
      </c>
      <c r="M4087" t="b">
        <v>1</v>
      </c>
      <c r="N4087" t="inlineStr">
        <is>
          <t>ref</t>
        </is>
      </c>
      <c r="O4087" t="n">
        <v>-100</v>
      </c>
      <c r="P4087" t="n">
        <v>0.00598</v>
      </c>
      <c r="Q4087" t="n">
        <v>-100</v>
      </c>
      <c r="R4087" t="n">
        <v>0.0476</v>
      </c>
      <c r="S4087">
        <f>IMAGE("https://mitra.stanford.edu/kundaje/oak/projects/neuro-variants/variant_position/credible/roussos_2024/variant_figures/roussos_2024.childhood.Astrocyte/rs56199530_count_position.png",4,220,900)</f>
        <v/>
      </c>
      <c r="T4087">
        <f>IMAGE("https://mitra.stanford.edu/kundaje/oak/projects/neuro-variants/variant_position/credible/roussos_2024/variant_figures/roussos_2024.childhood.Astrocyte/rs56199530_profile_position.png",4,220,900)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0.066525472</v>
      </c>
      <c r="G4088" t="n">
        <v>0.1612555129356026</v>
      </c>
      <c r="H4088" t="n">
        <v>0.0146535998161882</v>
      </c>
      <c r="I4088" t="n">
        <v>0.3178790315099349</v>
      </c>
      <c r="J4088" t="n">
        <v>0.6792883149000482</v>
      </c>
      <c r="K4088" t="n">
        <v>0.0199646601207606</v>
      </c>
      <c r="L4088" t="b">
        <v>0</v>
      </c>
      <c r="M4088" t="b">
        <v>0</v>
      </c>
      <c r="N4088" t="inlineStr">
        <is>
          <t>alt</t>
        </is>
      </c>
      <c r="O4088" t="n">
        <v>-85</v>
      </c>
      <c r="P4088" t="n">
        <v>0.02231</v>
      </c>
      <c r="Q4088" t="n">
        <v>-85</v>
      </c>
      <c r="R4088" t="n">
        <v>0.391</v>
      </c>
      <c r="S4088">
        <f>IMAGE("https://mitra.stanford.edu/kundaje/oak/projects/neuro-variants/variant_position/credible/roussos_2024/variant_figures/roussos_2024.childhood.Astrocyte/rs10867090_count_position.png",4,220,900)</f>
        <v/>
      </c>
      <c r="T4088">
        <f>IMAGE("https://mitra.stanford.edu/kundaje/oak/projects/neuro-variants/variant_position/credible/roussos_2024/variant_figures/roussos_2024.childhood.Astrocyte/rs10867090_profile_position.png",4,220,900)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-0.03160538436</v>
      </c>
      <c r="G4089" t="n">
        <v>0.394406804373303</v>
      </c>
      <c r="H4089" t="n">
        <v>0.0105742747291551</v>
      </c>
      <c r="I4089" t="n">
        <v>0.6556737249224329</v>
      </c>
      <c r="J4089" t="n">
        <v>0.2517337974094173</v>
      </c>
      <c r="K4089" t="n">
        <v>0.1618709125548138</v>
      </c>
      <c r="L4089" t="b">
        <v>0</v>
      </c>
      <c r="M4089" t="b">
        <v>0</v>
      </c>
      <c r="N4089" t="inlineStr">
        <is>
          <t>ref</t>
        </is>
      </c>
      <c r="O4089" t="n">
        <v>-90</v>
      </c>
      <c r="P4089" t="n">
        <v>0.01062</v>
      </c>
      <c r="Q4089" t="n">
        <v>-95</v>
      </c>
      <c r="R4089" t="n">
        <v>0.2375</v>
      </c>
      <c r="S4089">
        <f>IMAGE("https://mitra.stanford.edu/kundaje/oak/projects/neuro-variants/variant_position/credible/roussos_2024/variant_figures/roussos_2024.childhood.Astrocyte/rs7042228_count_position.png",4,220,900)</f>
        <v/>
      </c>
      <c r="T4089">
        <f>IMAGE("https://mitra.stanford.edu/kundaje/oak/projects/neuro-variants/variant_position/credible/roussos_2024/variant_figures/roussos_2024.childhood.Astrocyte/rs7042228_profile_position.png",4,220,900)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-0.028824272</v>
      </c>
      <c r="G4090" t="n">
        <v>0.4016034820099532</v>
      </c>
      <c r="H4090" t="n">
        <v>0.0174870605442434</v>
      </c>
      <c r="I4090" t="n">
        <v>0.198872787077346</v>
      </c>
      <c r="J4090" t="n">
        <v>0.0136177325914221</v>
      </c>
      <c r="K4090" t="n">
        <v>0.6523015682963884</v>
      </c>
      <c r="L4090" t="b">
        <v>0</v>
      </c>
      <c r="M4090" t="b">
        <v>0</v>
      </c>
      <c r="N4090" t="inlineStr">
        <is>
          <t>ref</t>
        </is>
      </c>
      <c r="O4090" t="n">
        <v>40</v>
      </c>
      <c r="P4090" t="n">
        <v>0.013336</v>
      </c>
      <c r="Q4090" t="n">
        <v>40</v>
      </c>
      <c r="R4090" t="n">
        <v>0.0693</v>
      </c>
      <c r="S4090">
        <f>IMAGE("https://mitra.stanford.edu/kundaje/oak/projects/neuro-variants/variant_position/credible/roussos_2024/variant_figures/roussos_2024.childhood.Astrocyte/rs7855572_count_position.png",4,220,900)</f>
        <v/>
      </c>
      <c r="T4090">
        <f>IMAGE("https://mitra.stanford.edu/kundaje/oak/projects/neuro-variants/variant_position/credible/roussos_2024/variant_figures/roussos_2024.childhood.Astrocyte/rs7855572_profile_position.png",4,220,900)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-0.1062508983999999</v>
      </c>
      <c r="G4091" t="n">
        <v>0.066297134854319</v>
      </c>
      <c r="H4091" t="n">
        <v>0.0186222798367582</v>
      </c>
      <c r="I4091" t="n">
        <v>0.1558523564388153</v>
      </c>
      <c r="J4091" t="n">
        <v>0.1737537496278994</v>
      </c>
      <c r="K4091" t="n">
        <v>0.2361141163114473</v>
      </c>
      <c r="L4091" t="b">
        <v>0</v>
      </c>
      <c r="M4091" t="b">
        <v>0</v>
      </c>
      <c r="N4091" t="inlineStr">
        <is>
          <t>ref</t>
        </is>
      </c>
      <c r="O4091" t="n">
        <v>-90</v>
      </c>
      <c r="P4091" t="n">
        <v>0.0195</v>
      </c>
      <c r="Q4091" t="n">
        <v>-90</v>
      </c>
      <c r="R4091" t="n">
        <v>0.3604</v>
      </c>
      <c r="S4091">
        <f>IMAGE("https://mitra.stanford.edu/kundaje/oak/projects/neuro-variants/variant_position/credible/roussos_2024/variant_figures/roussos_2024.childhood.Astrocyte/rs62580940_count_position.png",4,220,900)</f>
        <v/>
      </c>
      <c r="T4091">
        <f>IMAGE("https://mitra.stanford.edu/kundaje/oak/projects/neuro-variants/variant_position/credible/roussos_2024/variant_figures/roussos_2024.childhood.Astrocyte/rs62580940_profile_position.png",4,220,900)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2025-12-18T17:44:08Z</dcterms:created>
  <dcterms:modified xmlns:dcterms="http://purl.org/dc/terms/" xmlns:xsi="http://www.w3.org/2001/XMLSchema-instance" xsi:type="dcterms:W3CDTF">2025-12-18T17:44:09Z</dcterms:modified>
</cp:coreProperties>
</file>